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taylor\ACR Forestry Dropbox\Andrew Taylor\Voluntary Forestry\IFM Meth\ERT Calculator final versions\"/>
    </mc:Choice>
  </mc:AlternateContent>
  <xr:revisionPtr revIDLastSave="0" documentId="13_ncr:1_{16149207-48FE-4E32-8089-3730412F581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itle and Version" sheetId="17" r:id="rId1"/>
    <sheet name="Example A-No Harvest Project" sheetId="13" r:id="rId2"/>
    <sheet name="Example B-Light Harvest Project" sheetId="16" r:id="rId3"/>
    <sheet name="Graph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3" l="1"/>
  <c r="E48" i="16"/>
  <c r="F59" i="16"/>
  <c r="E59" i="16"/>
  <c r="I45" i="16"/>
  <c r="H45" i="16"/>
  <c r="G45" i="16"/>
  <c r="F45" i="16"/>
  <c r="E45" i="16"/>
  <c r="E58" i="16"/>
  <c r="F58" i="13"/>
  <c r="F58" i="16"/>
  <c r="G58" i="16" s="1"/>
  <c r="H58" i="16" s="1"/>
  <c r="I58" i="16" s="1"/>
  <c r="J58" i="16" s="1"/>
  <c r="K58" i="16" s="1"/>
  <c r="L58" i="16" s="1"/>
  <c r="M58" i="16" s="1"/>
  <c r="N58" i="16" s="1"/>
  <c r="O58" i="16" s="1"/>
  <c r="P58" i="16" s="1"/>
  <c r="Q58" i="16" s="1"/>
  <c r="R58" i="16" s="1"/>
  <c r="S58" i="16" s="1"/>
  <c r="T58" i="16" s="1"/>
  <c r="U58" i="16" s="1"/>
  <c r="V58" i="16" s="1"/>
  <c r="W58" i="16" s="1"/>
  <c r="X58" i="16" s="1"/>
  <c r="W45" i="16"/>
  <c r="Q45" i="16"/>
  <c r="X59" i="16"/>
  <c r="V59" i="16"/>
  <c r="U59" i="16"/>
  <c r="T59" i="16"/>
  <c r="S59" i="16"/>
  <c r="R59" i="16"/>
  <c r="P59" i="16"/>
  <c r="O59" i="16"/>
  <c r="N59" i="16"/>
  <c r="M59" i="16"/>
  <c r="L59" i="16"/>
  <c r="K59" i="16"/>
  <c r="J59" i="16"/>
  <c r="I59" i="16"/>
  <c r="H59" i="16"/>
  <c r="F45" i="13"/>
  <c r="E45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E59" i="13"/>
  <c r="G58" i="13" l="1"/>
  <c r="G45" i="13"/>
  <c r="H58" i="13" l="1"/>
  <c r="H45" i="13"/>
  <c r="G59" i="16"/>
  <c r="I45" i="13" l="1"/>
  <c r="I58" i="13"/>
  <c r="J58" i="13" s="1"/>
  <c r="K58" i="13" s="1"/>
  <c r="L58" i="13" s="1"/>
  <c r="M58" i="13" s="1"/>
  <c r="N58" i="13" s="1"/>
  <c r="O58" i="13" s="1"/>
  <c r="P58" i="13" s="1"/>
  <c r="Q58" i="13" s="1"/>
  <c r="R58" i="13" s="1"/>
  <c r="S58" i="13" s="1"/>
  <c r="T58" i="13" s="1"/>
  <c r="U58" i="13" s="1"/>
  <c r="V58" i="13" s="1"/>
  <c r="W58" i="13" s="1"/>
  <c r="X58" i="13" s="1"/>
  <c r="J45" i="16"/>
  <c r="K45" i="16" l="1"/>
  <c r="L45" i="16" l="1"/>
  <c r="M45" i="16" l="1"/>
  <c r="N45" i="16" l="1"/>
  <c r="O45" i="16" l="1"/>
  <c r="P45" i="16" l="1"/>
  <c r="Q59" i="16" l="1"/>
  <c r="R45" i="16"/>
  <c r="S45" i="16" s="1"/>
  <c r="T45" i="16" l="1"/>
  <c r="U45" i="16" l="1"/>
  <c r="V45" i="16" l="1"/>
  <c r="X45" i="16" s="1"/>
  <c r="W59" i="16" l="1"/>
  <c r="X41" i="16" l="1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D41" i="13"/>
  <c r="E29" i="16" l="1"/>
  <c r="E27" i="16"/>
  <c r="X40" i="16" l="1"/>
  <c r="P40" i="16"/>
  <c r="H40" i="16"/>
  <c r="F40" i="16"/>
  <c r="K40" i="16"/>
  <c r="J40" i="16"/>
  <c r="W40" i="16"/>
  <c r="O40" i="16"/>
  <c r="G40" i="16"/>
  <c r="N40" i="16"/>
  <c r="S40" i="16"/>
  <c r="E30" i="16"/>
  <c r="V40" i="16"/>
  <c r="R40" i="16"/>
  <c r="Q40" i="16"/>
  <c r="U40" i="16"/>
  <c r="M40" i="16"/>
  <c r="E40" i="16"/>
  <c r="T40" i="16"/>
  <c r="L40" i="16"/>
  <c r="D40" i="16"/>
  <c r="I40" i="16"/>
  <c r="F30" i="16"/>
  <c r="G30" i="16" s="1"/>
  <c r="H30" i="16" s="1"/>
  <c r="I30" i="16" s="1"/>
  <c r="J30" i="16" s="1"/>
  <c r="K30" i="16" s="1"/>
  <c r="L30" i="16" s="1"/>
  <c r="M30" i="16" s="1"/>
  <c r="N30" i="16" s="1"/>
  <c r="O30" i="16" s="1"/>
  <c r="P30" i="16" s="1"/>
  <c r="Q30" i="16" s="1"/>
  <c r="R30" i="16" s="1"/>
  <c r="S30" i="16" s="1"/>
  <c r="T30" i="16" s="1"/>
  <c r="U30" i="16" s="1"/>
  <c r="V30" i="16" s="1"/>
  <c r="W30" i="16" s="1"/>
  <c r="X30" i="16" s="1"/>
  <c r="E31" i="16"/>
  <c r="E20" i="16"/>
  <c r="F20" i="16" s="1"/>
  <c r="G20" i="16" s="1"/>
  <c r="H20" i="16" s="1"/>
  <c r="I20" i="16" s="1"/>
  <c r="J20" i="16" s="1"/>
  <c r="K20" i="16" s="1"/>
  <c r="L20" i="16" s="1"/>
  <c r="M20" i="16" s="1"/>
  <c r="N20" i="16" s="1"/>
  <c r="O20" i="16" s="1"/>
  <c r="P20" i="16" s="1"/>
  <c r="Q20" i="16" s="1"/>
  <c r="R20" i="16" s="1"/>
  <c r="S20" i="16" s="1"/>
  <c r="T20" i="16" s="1"/>
  <c r="U20" i="16" s="1"/>
  <c r="V20" i="16" s="1"/>
  <c r="W20" i="16" s="1"/>
  <c r="X20" i="16" s="1"/>
  <c r="E32" i="16" l="1"/>
  <c r="F31" i="16"/>
  <c r="F32" i="16" s="1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D64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D62" i="16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D63" i="13"/>
  <c r="D64" i="13"/>
  <c r="D62" i="13"/>
  <c r="E27" i="13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F42" i="16" l="1"/>
  <c r="G31" i="16"/>
  <c r="G32" i="16" s="1"/>
  <c r="G42" i="16" s="1"/>
  <c r="E42" i="16"/>
  <c r="E44" i="16" s="1"/>
  <c r="E64" i="16"/>
  <c r="H31" i="16" l="1"/>
  <c r="F64" i="16"/>
  <c r="G64" i="16"/>
  <c r="H32" i="16" l="1"/>
  <c r="H42" i="16" s="1"/>
  <c r="I31" i="16"/>
  <c r="I32" i="16" s="1"/>
  <c r="I42" i="16" s="1"/>
  <c r="H64" i="16"/>
  <c r="J31" i="16" l="1"/>
  <c r="J32" i="16" s="1"/>
  <c r="J42" i="16" s="1"/>
  <c r="I64" i="16"/>
  <c r="K31" i="16" l="1"/>
  <c r="K32" i="16" s="1"/>
  <c r="K42" i="16" s="1"/>
  <c r="J64" i="16"/>
  <c r="L31" i="16" l="1"/>
  <c r="L32" i="16" s="1"/>
  <c r="L42" i="16" s="1"/>
  <c r="M31" i="16"/>
  <c r="N31" i="16" s="1"/>
  <c r="N32" i="16" s="1"/>
  <c r="N42" i="16" s="1"/>
  <c r="K64" i="16"/>
  <c r="L64" i="16"/>
  <c r="M32" i="16" l="1"/>
  <c r="M42" i="16" s="1"/>
  <c r="O31" i="16"/>
  <c r="M64" i="16"/>
  <c r="O32" i="16" l="1"/>
  <c r="O42" i="16" s="1"/>
  <c r="P31" i="16"/>
  <c r="P32" i="16" s="1"/>
  <c r="P42" i="16" s="1"/>
  <c r="N64" i="16"/>
  <c r="O64" i="16"/>
  <c r="Q31" i="16" l="1"/>
  <c r="P64" i="16"/>
  <c r="D65" i="13"/>
  <c r="Q32" i="16" l="1"/>
  <c r="Q42" i="16" s="1"/>
  <c r="R31" i="16"/>
  <c r="Q64" i="16"/>
  <c r="R32" i="16" l="1"/>
  <c r="R42" i="16" s="1"/>
  <c r="S31" i="16"/>
  <c r="S32" i="16" s="1"/>
  <c r="S42" i="16" s="1"/>
  <c r="R64" i="16"/>
  <c r="T31" i="16" l="1"/>
  <c r="S64" i="16"/>
  <c r="U31" i="16" l="1"/>
  <c r="U32" i="16" s="1"/>
  <c r="U42" i="16" s="1"/>
  <c r="T32" i="16"/>
  <c r="T42" i="16" s="1"/>
  <c r="T64" i="16"/>
  <c r="V31" i="16" l="1"/>
  <c r="U64" i="16"/>
  <c r="V32" i="16" l="1"/>
  <c r="V42" i="16" s="1"/>
  <c r="W31" i="16"/>
  <c r="E49" i="16"/>
  <c r="V64" i="16"/>
  <c r="E46" i="16"/>
  <c r="E55" i="16" s="1"/>
  <c r="E54" i="16"/>
  <c r="W32" i="16" l="1"/>
  <c r="W42" i="16" s="1"/>
  <c r="X31" i="16"/>
  <c r="X32" i="16" s="1"/>
  <c r="X42" i="16" s="1"/>
  <c r="E51" i="16"/>
  <c r="E53" i="16" s="1"/>
  <c r="W64" i="16"/>
  <c r="E47" i="16"/>
  <c r="E56" i="16" s="1"/>
  <c r="X64" i="16" l="1"/>
  <c r="E65" i="13" l="1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L38" i="13"/>
  <c r="E38" i="13"/>
  <c r="H38" i="13" l="1"/>
  <c r="G38" i="13"/>
  <c r="X38" i="13"/>
  <c r="E29" i="13"/>
  <c r="E30" i="13" s="1"/>
  <c r="J40" i="13" l="1"/>
  <c r="T40" i="13"/>
  <c r="N40" i="13"/>
  <c r="R40" i="13"/>
  <c r="G40" i="13"/>
  <c r="V40" i="13"/>
  <c r="K40" i="13"/>
  <c r="W40" i="13"/>
  <c r="O40" i="13"/>
  <c r="S40" i="13"/>
  <c r="I40" i="13"/>
  <c r="P40" i="13"/>
  <c r="E40" i="13"/>
  <c r="D40" i="13"/>
  <c r="X40" i="13"/>
  <c r="M40" i="13"/>
  <c r="H40" i="13"/>
  <c r="Q40" i="13"/>
  <c r="U40" i="13"/>
  <c r="L40" i="13"/>
  <c r="F40" i="13"/>
  <c r="F27" i="16"/>
  <c r="E31" i="13" l="1"/>
  <c r="F30" i="13"/>
  <c r="G44" i="16"/>
  <c r="G27" i="16"/>
  <c r="F29" i="16"/>
  <c r="F29" i="13"/>
  <c r="G29" i="13" s="1"/>
  <c r="H29" i="13" s="1"/>
  <c r="I29" i="13" s="1"/>
  <c r="J29" i="13" s="1"/>
  <c r="K29" i="13" s="1"/>
  <c r="L29" i="13" s="1"/>
  <c r="M29" i="13" s="1"/>
  <c r="N29" i="13" s="1"/>
  <c r="O29" i="13" s="1"/>
  <c r="P29" i="13" s="1"/>
  <c r="Q29" i="13" s="1"/>
  <c r="R29" i="13" s="1"/>
  <c r="S29" i="13" s="1"/>
  <c r="T29" i="13" s="1"/>
  <c r="U29" i="13" s="1"/>
  <c r="V29" i="13" s="1"/>
  <c r="W29" i="13" s="1"/>
  <c r="X29" i="13" s="1"/>
  <c r="F27" i="13"/>
  <c r="F31" i="13" l="1"/>
  <c r="G31" i="13" s="1"/>
  <c r="G32" i="13" s="1"/>
  <c r="G30" i="13"/>
  <c r="H30" i="13" s="1"/>
  <c r="I30" i="13" s="1"/>
  <c r="J30" i="13" s="1"/>
  <c r="K30" i="13" s="1"/>
  <c r="L30" i="13" s="1"/>
  <c r="M30" i="13" s="1"/>
  <c r="N30" i="13" s="1"/>
  <c r="O30" i="13" s="1"/>
  <c r="P30" i="13" s="1"/>
  <c r="Q30" i="13" s="1"/>
  <c r="R30" i="13" s="1"/>
  <c r="S30" i="13" s="1"/>
  <c r="T30" i="13" s="1"/>
  <c r="U30" i="13" s="1"/>
  <c r="V30" i="13" s="1"/>
  <c r="W30" i="13" s="1"/>
  <c r="X30" i="13" s="1"/>
  <c r="E64" i="13"/>
  <c r="E32" i="13"/>
  <c r="E60" i="16"/>
  <c r="G29" i="16"/>
  <c r="F44" i="16" l="1"/>
  <c r="H44" i="16"/>
  <c r="J44" i="16"/>
  <c r="G42" i="13"/>
  <c r="G44" i="13" s="1"/>
  <c r="G64" i="13"/>
  <c r="E42" i="13"/>
  <c r="F32" i="13"/>
  <c r="F64" i="13"/>
  <c r="H31" i="13"/>
  <c r="H64" i="13" s="1"/>
  <c r="G48" i="16"/>
  <c r="G49" i="16"/>
  <c r="G46" i="16"/>
  <c r="G47" i="16" s="1"/>
  <c r="G50" i="16"/>
  <c r="G51" i="16"/>
  <c r="H29" i="16"/>
  <c r="H49" i="16" l="1"/>
  <c r="J48" i="16"/>
  <c r="J49" i="16"/>
  <c r="J46" i="16"/>
  <c r="J47" i="16" s="1"/>
  <c r="F46" i="16"/>
  <c r="F47" i="16" s="1"/>
  <c r="F56" i="16" s="1"/>
  <c r="F54" i="16"/>
  <c r="G54" i="16" s="1"/>
  <c r="F49" i="16"/>
  <c r="F48" i="16"/>
  <c r="K44" i="16"/>
  <c r="I44" i="16"/>
  <c r="H32" i="13"/>
  <c r="E44" i="13"/>
  <c r="I31" i="13"/>
  <c r="I64" i="13" s="1"/>
  <c r="I29" i="16"/>
  <c r="J29" i="16" s="1"/>
  <c r="H46" i="16" l="1"/>
  <c r="H47" i="16" s="1"/>
  <c r="H48" i="16"/>
  <c r="H54" i="16"/>
  <c r="I54" i="16" s="1"/>
  <c r="J54" i="16" s="1"/>
  <c r="K54" i="16" s="1"/>
  <c r="J31" i="13"/>
  <c r="K31" i="13" s="1"/>
  <c r="L31" i="13" s="1"/>
  <c r="K46" i="16"/>
  <c r="K47" i="16" s="1"/>
  <c r="K49" i="16"/>
  <c r="K48" i="16"/>
  <c r="I49" i="16"/>
  <c r="I46" i="16"/>
  <c r="I47" i="16" s="1"/>
  <c r="I48" i="16"/>
  <c r="M44" i="16"/>
  <c r="F55" i="16"/>
  <c r="G55" i="16" s="1"/>
  <c r="H42" i="13"/>
  <c r="H44" i="13" s="1"/>
  <c r="I32" i="13"/>
  <c r="G56" i="16"/>
  <c r="H56" i="16" l="1"/>
  <c r="I56" i="16" s="1"/>
  <c r="J56" i="16" s="1"/>
  <c r="K56" i="16" s="1"/>
  <c r="H55" i="16"/>
  <c r="I55" i="16" s="1"/>
  <c r="J55" i="16" s="1"/>
  <c r="K55" i="16" s="1"/>
  <c r="K32" i="13"/>
  <c r="J64" i="13"/>
  <c r="M31" i="13"/>
  <c r="N31" i="13" s="1"/>
  <c r="O31" i="13" s="1"/>
  <c r="P31" i="13" s="1"/>
  <c r="Q31" i="13" s="1"/>
  <c r="R31" i="13" s="1"/>
  <c r="J32" i="13"/>
  <c r="M46" i="16"/>
  <c r="M47" i="16" s="1"/>
  <c r="M48" i="16"/>
  <c r="M49" i="16"/>
  <c r="L44" i="16"/>
  <c r="E50" i="16"/>
  <c r="E52" i="16" s="1"/>
  <c r="K64" i="13"/>
  <c r="K29" i="16"/>
  <c r="O38" i="13"/>
  <c r="E20" i="13"/>
  <c r="L48" i="16" l="1"/>
  <c r="L49" i="16"/>
  <c r="L46" i="16"/>
  <c r="L47" i="16" s="1"/>
  <c r="L56" i="16" s="1"/>
  <c r="M56" i="16" s="1"/>
  <c r="L54" i="16"/>
  <c r="M54" i="16" s="1"/>
  <c r="N44" i="16"/>
  <c r="S31" i="13"/>
  <c r="T31" i="13" s="1"/>
  <c r="U31" i="13" s="1"/>
  <c r="V31" i="13" s="1"/>
  <c r="W31" i="13" s="1"/>
  <c r="X31" i="13" s="1"/>
  <c r="F51" i="16"/>
  <c r="F53" i="16" s="1"/>
  <c r="L32" i="13"/>
  <c r="L64" i="13"/>
  <c r="F50" i="16"/>
  <c r="G53" i="16"/>
  <c r="L29" i="16"/>
  <c r="F20" i="13"/>
  <c r="G20" i="13" s="1"/>
  <c r="H20" i="13" s="1"/>
  <c r="I20" i="13" s="1"/>
  <c r="J20" i="13" s="1"/>
  <c r="K20" i="13" s="1"/>
  <c r="L20" i="13" s="1"/>
  <c r="M20" i="13" s="1"/>
  <c r="N20" i="13" s="1"/>
  <c r="O20" i="13" s="1"/>
  <c r="P20" i="13" s="1"/>
  <c r="Q20" i="13" s="1"/>
  <c r="R20" i="13" s="1"/>
  <c r="S20" i="13" s="1"/>
  <c r="T20" i="13" s="1"/>
  <c r="U20" i="13" s="1"/>
  <c r="V20" i="13" s="1"/>
  <c r="W20" i="13" s="1"/>
  <c r="X20" i="13" s="1"/>
  <c r="K38" i="13"/>
  <c r="N38" i="13"/>
  <c r="F38" i="13"/>
  <c r="M38" i="13"/>
  <c r="I38" i="13"/>
  <c r="J38" i="13"/>
  <c r="P38" i="13"/>
  <c r="N49" i="16" l="1"/>
  <c r="N46" i="16"/>
  <c r="N47" i="16" s="1"/>
  <c r="N56" i="16" s="1"/>
  <c r="N48" i="16"/>
  <c r="N54" i="16"/>
  <c r="O44" i="16"/>
  <c r="L55" i="16"/>
  <c r="M55" i="16" s="1"/>
  <c r="L42" i="13"/>
  <c r="L44" i="13" s="1"/>
  <c r="I42" i="13"/>
  <c r="I44" i="13" s="1"/>
  <c r="F42" i="13"/>
  <c r="F44" i="13" s="1"/>
  <c r="J42" i="13"/>
  <c r="J44" i="13" s="1"/>
  <c r="K42" i="13"/>
  <c r="K44" i="13" s="1"/>
  <c r="N32" i="13"/>
  <c r="N42" i="13" s="1"/>
  <c r="N64" i="13"/>
  <c r="M32" i="13"/>
  <c r="M42" i="13" s="1"/>
  <c r="M44" i="13" s="1"/>
  <c r="M64" i="13"/>
  <c r="F52" i="16"/>
  <c r="G52" i="16"/>
  <c r="H51" i="16"/>
  <c r="F60" i="16"/>
  <c r="M29" i="16"/>
  <c r="Q38" i="13"/>
  <c r="R38" i="13"/>
  <c r="H27" i="16"/>
  <c r="N55" i="16" l="1"/>
  <c r="P44" i="16"/>
  <c r="N44" i="13"/>
  <c r="E49" i="13"/>
  <c r="E48" i="13"/>
  <c r="O32" i="13"/>
  <c r="O64" i="13"/>
  <c r="P32" i="13"/>
  <c r="P64" i="13"/>
  <c r="H50" i="16"/>
  <c r="I51" i="16"/>
  <c r="E46" i="13"/>
  <c r="E55" i="13" s="1"/>
  <c r="E54" i="13"/>
  <c r="H53" i="16"/>
  <c r="G60" i="16"/>
  <c r="H60" i="16" s="1"/>
  <c r="I60" i="16" s="1"/>
  <c r="J60" i="16" s="1"/>
  <c r="K60" i="16" s="1"/>
  <c r="L60" i="16" s="1"/>
  <c r="M60" i="16" s="1"/>
  <c r="N60" i="16" s="1"/>
  <c r="O60" i="16" s="1"/>
  <c r="N29" i="16"/>
  <c r="G27" i="13"/>
  <c r="I27" i="16"/>
  <c r="S38" i="13"/>
  <c r="P46" i="16" l="1"/>
  <c r="P47" i="16" s="1"/>
  <c r="P48" i="16"/>
  <c r="P49" i="16"/>
  <c r="Q44" i="16"/>
  <c r="O48" i="16"/>
  <c r="O54" i="16"/>
  <c r="P54" i="16" s="1"/>
  <c r="O49" i="16"/>
  <c r="O46" i="16"/>
  <c r="O42" i="13"/>
  <c r="O44" i="13" s="1"/>
  <c r="P42" i="13"/>
  <c r="P44" i="13" s="1"/>
  <c r="F49" i="13"/>
  <c r="F48" i="13"/>
  <c r="G49" i="13"/>
  <c r="G48" i="13"/>
  <c r="I53" i="16"/>
  <c r="H52" i="16"/>
  <c r="Q32" i="13"/>
  <c r="Q64" i="13"/>
  <c r="J51" i="16"/>
  <c r="I50" i="16"/>
  <c r="E50" i="13"/>
  <c r="E52" i="13" s="1"/>
  <c r="E47" i="13"/>
  <c r="E56" i="13" s="1"/>
  <c r="E51" i="13"/>
  <c r="E53" i="13" s="1"/>
  <c r="F54" i="13"/>
  <c r="G54" i="13" s="1"/>
  <c r="F46" i="13"/>
  <c r="F55" i="13" s="1"/>
  <c r="G46" i="13"/>
  <c r="G47" i="13" s="1"/>
  <c r="P60" i="16"/>
  <c r="O29" i="16"/>
  <c r="H27" i="13"/>
  <c r="I27" i="13" s="1"/>
  <c r="J27" i="13" s="1"/>
  <c r="K27" i="13" s="1"/>
  <c r="L27" i="13" s="1"/>
  <c r="M27" i="13" s="1"/>
  <c r="N27" i="13" s="1"/>
  <c r="O27" i="13" s="1"/>
  <c r="P27" i="13" s="1"/>
  <c r="Q27" i="13" s="1"/>
  <c r="R27" i="13" s="1"/>
  <c r="S27" i="13" s="1"/>
  <c r="T27" i="13" s="1"/>
  <c r="U27" i="13" s="1"/>
  <c r="V27" i="13" s="1"/>
  <c r="W27" i="13" s="1"/>
  <c r="X27" i="13" s="1"/>
  <c r="J27" i="16"/>
  <c r="T38" i="13"/>
  <c r="Q54" i="16" l="1"/>
  <c r="J45" i="13"/>
  <c r="Q49" i="16"/>
  <c r="Q48" i="16"/>
  <c r="Q46" i="16"/>
  <c r="Q47" i="16" s="1"/>
  <c r="Q51" i="16"/>
  <c r="Q50" i="16"/>
  <c r="R44" i="16"/>
  <c r="O47" i="16"/>
  <c r="O56" i="16" s="1"/>
  <c r="P56" i="16" s="1"/>
  <c r="O55" i="16"/>
  <c r="P55" i="16" s="1"/>
  <c r="Q42" i="13"/>
  <c r="Q44" i="13" s="1"/>
  <c r="H48" i="13"/>
  <c r="H49" i="13"/>
  <c r="J53" i="16"/>
  <c r="R32" i="13"/>
  <c r="R64" i="13"/>
  <c r="J50" i="16"/>
  <c r="K51" i="16"/>
  <c r="F51" i="13"/>
  <c r="F53" i="13" s="1"/>
  <c r="G55" i="13"/>
  <c r="F47" i="13"/>
  <c r="F56" i="13" s="1"/>
  <c r="G56" i="13" s="1"/>
  <c r="G50" i="13"/>
  <c r="G52" i="13" s="1"/>
  <c r="F50" i="13"/>
  <c r="F52" i="13" s="1"/>
  <c r="H54" i="13"/>
  <c r="H46" i="13"/>
  <c r="G51" i="13"/>
  <c r="G53" i="13" s="1"/>
  <c r="Q60" i="16"/>
  <c r="P29" i="16"/>
  <c r="K27" i="16"/>
  <c r="U38" i="13"/>
  <c r="Q55" i="16" l="1"/>
  <c r="R49" i="16"/>
  <c r="R54" i="16"/>
  <c r="R48" i="16"/>
  <c r="R46" i="16"/>
  <c r="R47" i="16" s="1"/>
  <c r="Q56" i="16"/>
  <c r="S44" i="16"/>
  <c r="R42" i="13"/>
  <c r="R44" i="13" s="1"/>
  <c r="J48" i="13"/>
  <c r="J49" i="13"/>
  <c r="I48" i="13"/>
  <c r="I49" i="13"/>
  <c r="K53" i="16"/>
  <c r="S32" i="13"/>
  <c r="S64" i="13"/>
  <c r="K50" i="16"/>
  <c r="L51" i="16"/>
  <c r="H55" i="13"/>
  <c r="H51" i="13"/>
  <c r="H53" i="13" s="1"/>
  <c r="H47" i="13"/>
  <c r="H56" i="13" s="1"/>
  <c r="I54" i="13"/>
  <c r="J54" i="13" s="1"/>
  <c r="H50" i="13"/>
  <c r="H52" i="13" s="1"/>
  <c r="J46" i="13"/>
  <c r="J47" i="13" s="1"/>
  <c r="I46" i="13"/>
  <c r="I47" i="13" s="1"/>
  <c r="I52" i="16"/>
  <c r="R60" i="16"/>
  <c r="Q29" i="16"/>
  <c r="L27" i="16"/>
  <c r="V38" i="13"/>
  <c r="K45" i="13" l="1"/>
  <c r="K54" i="13" s="1"/>
  <c r="L45" i="13"/>
  <c r="R56" i="16"/>
  <c r="R55" i="16"/>
  <c r="S46" i="16"/>
  <c r="S47" i="16" s="1"/>
  <c r="S48" i="16"/>
  <c r="S49" i="16"/>
  <c r="S54" i="16"/>
  <c r="T44" i="16"/>
  <c r="S42" i="13"/>
  <c r="S44" i="13" s="1"/>
  <c r="U32" i="13"/>
  <c r="U64" i="13"/>
  <c r="T32" i="13"/>
  <c r="T64" i="13"/>
  <c r="L53" i="16"/>
  <c r="M51" i="16"/>
  <c r="L50" i="16"/>
  <c r="I56" i="13"/>
  <c r="J56" i="13" s="1"/>
  <c r="I50" i="13"/>
  <c r="I52" i="13" s="1"/>
  <c r="I51" i="13"/>
  <c r="I53" i="13" s="1"/>
  <c r="J50" i="13"/>
  <c r="J52" i="13" s="1"/>
  <c r="J51" i="13"/>
  <c r="J53" i="13" s="1"/>
  <c r="I55" i="13"/>
  <c r="J55" i="13" s="1"/>
  <c r="J52" i="16"/>
  <c r="S60" i="16"/>
  <c r="E60" i="13"/>
  <c r="R29" i="16"/>
  <c r="M27" i="16"/>
  <c r="W38" i="13"/>
  <c r="K46" i="13" l="1"/>
  <c r="K47" i="13" s="1"/>
  <c r="K56" i="13" s="1"/>
  <c r="K49" i="13"/>
  <c r="K51" i="13" s="1"/>
  <c r="K53" i="13" s="1"/>
  <c r="K48" i="13"/>
  <c r="S55" i="16"/>
  <c r="M45" i="13"/>
  <c r="S56" i="16"/>
  <c r="T48" i="16"/>
  <c r="T46" i="16"/>
  <c r="T47" i="16" s="1"/>
  <c r="T49" i="16"/>
  <c r="T54" i="16"/>
  <c r="U44" i="16"/>
  <c r="U42" i="13"/>
  <c r="U44" i="13" s="1"/>
  <c r="T42" i="13"/>
  <c r="T44" i="13" s="1"/>
  <c r="L49" i="13"/>
  <c r="L48" i="13"/>
  <c r="V32" i="13"/>
  <c r="V64" i="13"/>
  <c r="M53" i="16"/>
  <c r="M50" i="16"/>
  <c r="N51" i="16"/>
  <c r="L54" i="13"/>
  <c r="L46" i="13"/>
  <c r="L47" i="13" s="1"/>
  <c r="K52" i="16"/>
  <c r="T60" i="16"/>
  <c r="F60" i="13"/>
  <c r="S29" i="16"/>
  <c r="N27" i="16"/>
  <c r="K55" i="13" l="1"/>
  <c r="K50" i="13"/>
  <c r="K52" i="13" s="1"/>
  <c r="T55" i="16"/>
  <c r="O45" i="13"/>
  <c r="N45" i="13"/>
  <c r="T56" i="16"/>
  <c r="U46" i="16"/>
  <c r="U47" i="16" s="1"/>
  <c r="U49" i="16"/>
  <c r="U48" i="16"/>
  <c r="U54" i="16"/>
  <c r="V44" i="16"/>
  <c r="V42" i="13"/>
  <c r="V44" i="13" s="1"/>
  <c r="L56" i="13"/>
  <c r="M49" i="13"/>
  <c r="M48" i="13"/>
  <c r="N53" i="16"/>
  <c r="W32" i="13"/>
  <c r="W64" i="13"/>
  <c r="N50" i="16"/>
  <c r="O51" i="16"/>
  <c r="L50" i="13"/>
  <c r="L52" i="13" s="1"/>
  <c r="L55" i="13"/>
  <c r="L51" i="13"/>
  <c r="L53" i="13" s="1"/>
  <c r="M54" i="13"/>
  <c r="M46" i="13"/>
  <c r="L52" i="16"/>
  <c r="U60" i="16"/>
  <c r="T29" i="16"/>
  <c r="O27" i="16"/>
  <c r="U56" i="16" l="1"/>
  <c r="U55" i="16"/>
  <c r="V54" i="16"/>
  <c r="V48" i="16"/>
  <c r="V46" i="16"/>
  <c r="V47" i="16" s="1"/>
  <c r="V49" i="16"/>
  <c r="W44" i="16"/>
  <c r="W42" i="13"/>
  <c r="W44" i="13" s="1"/>
  <c r="N48" i="13"/>
  <c r="N49" i="13"/>
  <c r="O49" i="13"/>
  <c r="O48" i="13"/>
  <c r="O53" i="16"/>
  <c r="X32" i="13"/>
  <c r="X64" i="13"/>
  <c r="O50" i="16"/>
  <c r="P51" i="16"/>
  <c r="M51" i="13"/>
  <c r="M53" i="13" s="1"/>
  <c r="N54" i="13"/>
  <c r="O54" i="13" s="1"/>
  <c r="M55" i="13"/>
  <c r="O46" i="13"/>
  <c r="O47" i="13" s="1"/>
  <c r="M47" i="13"/>
  <c r="M56" i="13" s="1"/>
  <c r="N46" i="13"/>
  <c r="N47" i="13" s="1"/>
  <c r="M50" i="13"/>
  <c r="M52" i="13" s="1"/>
  <c r="M52" i="16"/>
  <c r="V60" i="16"/>
  <c r="G60" i="13"/>
  <c r="U29" i="16"/>
  <c r="P27" i="16"/>
  <c r="V56" i="16" l="1"/>
  <c r="P45" i="13"/>
  <c r="P48" i="13" s="1"/>
  <c r="V55" i="16"/>
  <c r="W51" i="16"/>
  <c r="W54" i="16"/>
  <c r="W46" i="16"/>
  <c r="W47" i="16" s="1"/>
  <c r="W50" i="16"/>
  <c r="W48" i="16"/>
  <c r="W49" i="16"/>
  <c r="X44" i="16"/>
  <c r="X42" i="13"/>
  <c r="X44" i="13" s="1"/>
  <c r="P53" i="16"/>
  <c r="P50" i="16"/>
  <c r="Q53" i="16"/>
  <c r="N51" i="13"/>
  <c r="N53" i="13" s="1"/>
  <c r="O50" i="13"/>
  <c r="O52" i="13" s="1"/>
  <c r="N50" i="13"/>
  <c r="N52" i="13" s="1"/>
  <c r="N55" i="13"/>
  <c r="O55" i="13" s="1"/>
  <c r="O51" i="13"/>
  <c r="O53" i="13" s="1"/>
  <c r="N56" i="13"/>
  <c r="O56" i="13" s="1"/>
  <c r="N52" i="16"/>
  <c r="W60" i="16"/>
  <c r="H60" i="13"/>
  <c r="V29" i="16"/>
  <c r="Q27" i="16"/>
  <c r="W56" i="16" l="1"/>
  <c r="P54" i="13"/>
  <c r="P49" i="13"/>
  <c r="Q45" i="13"/>
  <c r="P46" i="13"/>
  <c r="P47" i="13" s="1"/>
  <c r="P56" i="13" s="1"/>
  <c r="W55" i="16"/>
  <c r="X54" i="16"/>
  <c r="X49" i="16"/>
  <c r="X46" i="16"/>
  <c r="X47" i="16" s="1"/>
  <c r="X56" i="16" s="1"/>
  <c r="X48" i="16"/>
  <c r="R51" i="16"/>
  <c r="O52" i="16"/>
  <c r="X60" i="16"/>
  <c r="I60" i="13"/>
  <c r="W29" i="16"/>
  <c r="X29" i="16" s="1"/>
  <c r="R27" i="16"/>
  <c r="P51" i="13" l="1"/>
  <c r="P53" i="13" s="1"/>
  <c r="P55" i="13"/>
  <c r="P50" i="13"/>
  <c r="P52" i="13" s="1"/>
  <c r="R45" i="13"/>
  <c r="X55" i="16"/>
  <c r="Q54" i="13"/>
  <c r="Q48" i="13"/>
  <c r="Q49" i="13"/>
  <c r="R53" i="16"/>
  <c r="R50" i="16"/>
  <c r="S51" i="16"/>
  <c r="Q52" i="16"/>
  <c r="Q46" i="13"/>
  <c r="Q47" i="13" s="1"/>
  <c r="Q56" i="13" s="1"/>
  <c r="P52" i="16"/>
  <c r="J60" i="13"/>
  <c r="S27" i="16"/>
  <c r="S45" i="13" l="1"/>
  <c r="R48" i="13"/>
  <c r="R49" i="13"/>
  <c r="S50" i="16"/>
  <c r="T51" i="16"/>
  <c r="S53" i="16"/>
  <c r="R46" i="13"/>
  <c r="R47" i="13" s="1"/>
  <c r="R56" i="13" s="1"/>
  <c r="Q51" i="13"/>
  <c r="Q53" i="13" s="1"/>
  <c r="Q55" i="13"/>
  <c r="Q50" i="13"/>
  <c r="Q52" i="13" s="1"/>
  <c r="R54" i="13"/>
  <c r="K60" i="13"/>
  <c r="T27" i="16"/>
  <c r="T45" i="13" l="1"/>
  <c r="S48" i="13"/>
  <c r="S49" i="13"/>
  <c r="T53" i="16"/>
  <c r="T50" i="16"/>
  <c r="U51" i="16"/>
  <c r="R50" i="13"/>
  <c r="R52" i="13" s="1"/>
  <c r="R51" i="13"/>
  <c r="R53" i="13" s="1"/>
  <c r="S46" i="13"/>
  <c r="S54" i="13"/>
  <c r="R55" i="13"/>
  <c r="R52" i="16"/>
  <c r="L60" i="13"/>
  <c r="U27" i="16"/>
  <c r="U45" i="13" l="1"/>
  <c r="S50" i="13"/>
  <c r="S52" i="13" s="1"/>
  <c r="T49" i="13"/>
  <c r="T48" i="13"/>
  <c r="S47" i="13"/>
  <c r="S56" i="13" s="1"/>
  <c r="U53" i="16"/>
  <c r="U50" i="16"/>
  <c r="V51" i="16"/>
  <c r="T54" i="13"/>
  <c r="T46" i="13"/>
  <c r="T47" i="13" s="1"/>
  <c r="S51" i="13"/>
  <c r="S53" i="13" s="1"/>
  <c r="S55" i="13"/>
  <c r="S52" i="16"/>
  <c r="M60" i="13"/>
  <c r="V27" i="16"/>
  <c r="V45" i="13" l="1"/>
  <c r="T56" i="13"/>
  <c r="U48" i="13"/>
  <c r="U49" i="13"/>
  <c r="U54" i="13"/>
  <c r="V53" i="16"/>
  <c r="V50" i="16"/>
  <c r="W53" i="16"/>
  <c r="T51" i="13"/>
  <c r="T53" i="13" s="1"/>
  <c r="T55" i="13"/>
  <c r="U46" i="13"/>
  <c r="U47" i="13" s="1"/>
  <c r="U56" i="13" s="1"/>
  <c r="T50" i="13"/>
  <c r="T52" i="13" s="1"/>
  <c r="T52" i="16"/>
  <c r="N60" i="13"/>
  <c r="W27" i="16"/>
  <c r="W45" i="13" l="1"/>
  <c r="V49" i="13"/>
  <c r="V48" i="13"/>
  <c r="X51" i="16"/>
  <c r="U51" i="13"/>
  <c r="U53" i="13" s="1"/>
  <c r="U55" i="13"/>
  <c r="U50" i="13"/>
  <c r="U52" i="13" s="1"/>
  <c r="V46" i="13"/>
  <c r="V47" i="13" s="1"/>
  <c r="V56" i="13" s="1"/>
  <c r="V54" i="13"/>
  <c r="X50" i="16"/>
  <c r="U52" i="16"/>
  <c r="O60" i="13"/>
  <c r="X27" i="16"/>
  <c r="X45" i="13" l="1"/>
  <c r="X46" i="13" s="1"/>
  <c r="X47" i="13" s="1"/>
  <c r="V51" i="13"/>
  <c r="V53" i="13" s="1"/>
  <c r="W49" i="13"/>
  <c r="W48" i="13"/>
  <c r="W52" i="16"/>
  <c r="W54" i="13"/>
  <c r="X54" i="13" s="1"/>
  <c r="V55" i="13"/>
  <c r="W46" i="13"/>
  <c r="W47" i="13" s="1"/>
  <c r="W56" i="13" s="1"/>
  <c r="V50" i="13"/>
  <c r="V52" i="13" s="1"/>
  <c r="X53" i="16"/>
  <c r="V52" i="16"/>
  <c r="P60" i="13"/>
  <c r="X49" i="13" l="1"/>
  <c r="X51" i="13" s="1"/>
  <c r="X53" i="13" s="1"/>
  <c r="X48" i="13"/>
  <c r="X50" i="13" s="1"/>
  <c r="X52" i="13" s="1"/>
  <c r="W51" i="13"/>
  <c r="W53" i="13" s="1"/>
  <c r="X56" i="13"/>
  <c r="W50" i="13"/>
  <c r="W52" i="13" s="1"/>
  <c r="W55" i="13"/>
  <c r="X55" i="13" s="1"/>
  <c r="X52" i="16"/>
  <c r="Q60" i="13"/>
  <c r="R60" i="13" l="1"/>
  <c r="S60" i="13" l="1"/>
  <c r="T60" i="13" l="1"/>
  <c r="U60" i="13" l="1"/>
  <c r="V60" i="13" l="1"/>
  <c r="W60" i="13" l="1"/>
  <c r="X6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tc={81A2D5FA-C531-4A13-BBEA-B96E10C78375}</author>
    <author>tc={64FC928D-2CD6-4567-8ED2-7800DF045812}</author>
    <author>tc={E7F7604D-FF82-420E-BD08-4D3D4C2BE7ED}</author>
  </authors>
  <commentList>
    <comment ref="O12" authorId="0" shapeId="0" xr:uid="{81A2D5FA-C531-4A13-BBEA-B96E10C78375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inventory data is measured every 10 years, in compliance with the IFM protocol. This calculates new uncertainty stats.</t>
      </text>
    </comment>
    <comment ref="E48" authorId="1" shapeId="0" xr:uid="{64FC928D-2CD6-4567-8ED2-7800DF045812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 A assumes a project Start Date of 9/15/2020. The Start Date can be set in ACR Parameters (cell E16). This function only works as written for annual reporting and verifications.</t>
      </text>
    </comment>
    <comment ref="E58" authorId="2" shapeId="0" xr:uid="{E7F7604D-FF82-420E-BD08-4D3D4C2BE7ED}">
      <text>
        <t>[Threaded comment]
Your version of Excel allows you to read this threaded comment; however, any edits to it will get removed if the file is opened in a newer version of Excel. Learn more: https://go.microsoft.com/fwlink/?linkid=870924
Comment:
    Negative balance is only applicable prior to the projects first offset credit issuance.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tc={D194ED31-FB9A-4144-B7DD-F52440A08F42}</author>
    <author>tc={F87A02E5-09A9-4E97-B174-F1C60D491ACA}</author>
    <author>tc={7F71EE91-7B72-4A19-949C-918D54DF6F00}</author>
  </authors>
  <commentList>
    <comment ref="O12" authorId="0" shapeId="0" xr:uid="{D194ED31-FB9A-4144-B7DD-F52440A08F42}">
      <text>
        <t>[Threaded comment]
Your version of Excel allows you to read this threaded comment; however, any edits to it will get removed if the file is opened in a newer version of Excel. Learn more: https://go.microsoft.com/fwlink/?linkid=870924
Comment:
    New inventory data is measured every 10 years, in compliance with the IFM protocol. This calculates new uncertainty stats.</t>
      </text>
    </comment>
    <comment ref="E48" authorId="1" shapeId="0" xr:uid="{F87A02E5-09A9-4E97-B174-F1C60D491ACA}">
      <text>
        <t>[Threaded comment]
Your version of Excel allows you to read this threaded comment; however, any edits to it will get removed if the file is opened in a newer version of Excel. Learn more: https://go.microsoft.com/fwlink/?linkid=870924
Comment:
    Example B assumes a project Start Date of 6/1/2020. The Start Date can be set in ACR Parameters (cell E16). This function only works as written for annual reporting and verifications.</t>
      </text>
    </comment>
    <comment ref="E58" authorId="2" shapeId="0" xr:uid="{7F71EE91-7B72-4A19-949C-918D54DF6F00}">
      <text>
        <t>[Threaded comment]
Your version of Excel allows you to read this threaded comment; however, any edits to it will get removed if the file is opened in a newer version of Excel. Learn more: https://go.microsoft.com/fwlink/?linkid=870924
Comment:
    Negative balance is only applicable prior to the projects first offset credit issuance.</t>
      </text>
    </comment>
  </commentList>
</comments>
</file>

<file path=xl/sharedStrings.xml><?xml version="1.0" encoding="utf-8"?>
<sst xmlns="http://schemas.openxmlformats.org/spreadsheetml/2006/main" count="208" uniqueCount="110">
  <si>
    <t>HWP Baseline</t>
  </si>
  <si>
    <t>20yr Avg Baseline</t>
  </si>
  <si>
    <t>HWP Project</t>
  </si>
  <si>
    <t>Uncertainty</t>
  </si>
  <si>
    <t>Leakage</t>
  </si>
  <si>
    <t>Baseline</t>
  </si>
  <si>
    <t>Project</t>
  </si>
  <si>
    <t>ACR Parameters</t>
  </si>
  <si>
    <t>6 &amp; 7</t>
  </si>
  <si>
    <t>Equation</t>
  </si>
  <si>
    <t>Parameter</t>
  </si>
  <si>
    <t>T</t>
  </si>
  <si>
    <t>BUF</t>
  </si>
  <si>
    <t>LK</t>
  </si>
  <si>
    <t xml:space="preserve"> </t>
  </si>
  <si>
    <t>Project Scenario: No harvesting planned for the project scenario.</t>
  </si>
  <si>
    <t>20yr Avg Baseline GHG emissions</t>
  </si>
  <si>
    <t>Initial Carbon Stocks (for Graphs)</t>
  </si>
  <si>
    <t>Baseline (for Graphs)</t>
  </si>
  <si>
    <t>20yr Avg Baseline HWP</t>
  </si>
  <si>
    <r>
      <t>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Baseline</t>
    </r>
  </si>
  <si>
    <r>
      <t>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Baseline</t>
    </r>
  </si>
  <si>
    <r>
      <t>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Project</t>
    </r>
  </si>
  <si>
    <r>
      <t>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Project</t>
    </r>
  </si>
  <si>
    <r>
      <t>Uncertainty 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initial inventory</t>
    </r>
  </si>
  <si>
    <r>
      <t>Uncertainty 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initial inventory</t>
    </r>
  </si>
  <si>
    <t>Buffer deduction rate</t>
  </si>
  <si>
    <r>
      <t>e</t>
    </r>
    <r>
      <rPr>
        <vertAlign val="subscript"/>
        <sz val="11"/>
        <color theme="1"/>
        <rFont val="Calibri"/>
        <family val="2"/>
        <scheme val="minor"/>
      </rPr>
      <t>BSL,TREE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scheme val="minor"/>
      </rPr>
      <t>P,TREE,1</t>
    </r>
  </si>
  <si>
    <r>
      <t>e</t>
    </r>
    <r>
      <rPr>
        <vertAlign val="subscript"/>
        <sz val="11"/>
        <color theme="1"/>
        <rFont val="Calibri"/>
        <family val="2"/>
        <scheme val="minor"/>
      </rPr>
      <t>BSL,DEAD</t>
    </r>
    <r>
      <rPr>
        <sz val="11"/>
        <color theme="1"/>
        <rFont val="Calibri"/>
        <family val="2"/>
        <scheme val="minor"/>
      </rPr>
      <t>/e</t>
    </r>
    <r>
      <rPr>
        <vertAlign val="subscript"/>
        <sz val="11"/>
        <color theme="1"/>
        <rFont val="Calibri"/>
        <family val="2"/>
        <scheme val="minor"/>
      </rPr>
      <t>P,DEAD,1</t>
    </r>
  </si>
  <si>
    <r>
      <t>Uncertainty Live Tree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year 10</t>
    </r>
  </si>
  <si>
    <r>
      <t>Uncertainty Dead Wood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year 10</t>
    </r>
  </si>
  <si>
    <t>ACR Parameters, Inventory at Year 10</t>
  </si>
  <si>
    <r>
      <t>e</t>
    </r>
    <r>
      <rPr>
        <vertAlign val="subscript"/>
        <sz val="11"/>
        <color theme="1"/>
        <rFont val="Calibri"/>
        <family val="2"/>
        <scheme val="minor"/>
      </rPr>
      <t>P,TREE,10</t>
    </r>
  </si>
  <si>
    <r>
      <t>e</t>
    </r>
    <r>
      <rPr>
        <vertAlign val="subscript"/>
        <sz val="11"/>
        <color theme="1"/>
        <rFont val="Calibri"/>
        <family val="2"/>
        <scheme val="minor"/>
      </rPr>
      <t>P,DEAD,10</t>
    </r>
  </si>
  <si>
    <t>Crediting</t>
  </si>
  <si>
    <t>Its inventory stocks are based on a hypothetical 100-acre forest and FVS-produced carbon yields.</t>
  </si>
  <si>
    <t xml:space="preserve">Baseline Scenario: Stands older than the financially optimal rotation age are immediately harvested, and then stands are harvested once they reach the financially optimal rotation age. </t>
  </si>
  <si>
    <t>Project Scenario: Light harvesting of some stands at the financially optimal rotation age. In this simple example, project harvesting results in intentional reversals.</t>
  </si>
  <si>
    <t>1st crediting period</t>
  </si>
  <si>
    <t>The Project scenario does not harvest.</t>
  </si>
  <si>
    <t>The Baseline scenario harvests stands once they reach the financially optimal rotation age.</t>
  </si>
  <si>
    <t>The Project scenario harvests, but not as heavily as the Baseline.</t>
  </si>
  <si>
    <t>Example A Start Date</t>
  </si>
  <si>
    <t>Example B Start Date</t>
  </si>
  <si>
    <t>Example A: No Harvest Project Scenario</t>
  </si>
  <si>
    <t>Example B: Light Harvest Project Scenario</t>
  </si>
  <si>
    <t>Example A: Improved Forest Management project in a hypothetical 100-acre forest over one crediting period</t>
  </si>
  <si>
    <t>Example B: Improved Forest Management project in a hypothetical 100-acre forest over one crediting period</t>
  </si>
  <si>
    <t>Cumulative Reversals</t>
  </si>
  <si>
    <r>
      <t xml:space="preserve">This is an example project utilizing ACR's </t>
    </r>
    <r>
      <rPr>
        <i/>
        <sz val="11"/>
        <color theme="1"/>
        <rFont val="Calibri"/>
        <family val="2"/>
        <scheme val="minor"/>
      </rPr>
      <t>Improved Forest Management Methodology for Quantifying GHG Removals and Emission Reductions through Increased Forest Carbon Sequestration on Non-Federal U.S. Forestlands</t>
    </r>
    <r>
      <rPr>
        <sz val="11"/>
        <color theme="1"/>
        <rFont val="Calibri"/>
        <family val="2"/>
        <scheme val="minor"/>
      </rPr>
      <t xml:space="preserve"> methodology over one crediting period.</t>
    </r>
  </si>
  <si>
    <r>
      <t xml:space="preserve">This is another example project utilizing ACR's </t>
    </r>
    <r>
      <rPr>
        <i/>
        <sz val="11"/>
        <color theme="1"/>
        <rFont val="Calibri"/>
        <family val="2"/>
        <scheme val="minor"/>
      </rPr>
      <t>Improved Forest Management Methodology for Quantifying GHG Removals and Emission Reductions through Increased Forest Carbon Sequestration on Non-Federal U.S. Forestlands</t>
    </r>
    <r>
      <rPr>
        <sz val="11"/>
        <color theme="1"/>
        <rFont val="Calibri"/>
        <family val="2"/>
        <scheme val="minor"/>
      </rPr>
      <t xml:space="preserve"> methodology over one crediting period.</t>
    </r>
  </si>
  <si>
    <t>Title:</t>
  </si>
  <si>
    <t>Version:</t>
  </si>
  <si>
    <t>Date:</t>
  </si>
  <si>
    <t>Based on "addendum-1-spreadsheets-ert-calculations-in-two-scenarios", prepared by L&amp;C Carbon.</t>
  </si>
  <si>
    <t>Project (for Graphs)</t>
  </si>
  <si>
    <t>GHG Emissions Baseline</t>
  </si>
  <si>
    <t>GHG Emissions Project</t>
  </si>
  <si>
    <t>Baseline Stocks Uncertainty</t>
  </si>
  <si>
    <t>Project Stocks Uncertainty</t>
  </si>
  <si>
    <t>Total Uncertainty</t>
  </si>
  <si>
    <t>ΔC Baseline</t>
  </si>
  <si>
    <t>ΔC Project</t>
  </si>
  <si>
    <t>8, 9, &amp; 10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</si>
  <si>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BSL,TREE,t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</si>
  <si>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 DEAD,t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</si>
  <si>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BSL,HWP,t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</si>
  <si>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BSL,HWP</t>
    </r>
  </si>
  <si>
    <r>
      <t>GHG</t>
    </r>
    <r>
      <rPr>
        <i/>
        <vertAlign val="subscript"/>
        <sz val="11"/>
        <color theme="1"/>
        <rFont val="Calibri"/>
        <family val="2"/>
        <scheme val="minor"/>
      </rPr>
      <t>BSL,t</t>
    </r>
  </si>
  <si>
    <r>
      <t>GHG</t>
    </r>
    <r>
      <rPr>
        <i/>
        <vertAlign val="subscript"/>
        <sz val="11"/>
        <color theme="1"/>
        <rFont val="Calibri"/>
        <family val="2"/>
        <scheme val="minor"/>
      </rPr>
      <t>BSL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</si>
  <si>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BSL,AVE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</si>
  <si>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>C</t>
    </r>
    <r>
      <rPr>
        <i/>
        <vertAlign val="subscript"/>
        <sz val="11"/>
        <color theme="1"/>
        <rFont val="Calibri"/>
        <family val="2"/>
      </rPr>
      <t>BSL,t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</si>
  <si>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P,TREE,t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</si>
  <si>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P,DEAD,t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</si>
  <si>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P,HWP,t</t>
    </r>
  </si>
  <si>
    <r>
      <t>GHG</t>
    </r>
    <r>
      <rPr>
        <i/>
        <vertAlign val="subscript"/>
        <sz val="10"/>
        <color theme="1"/>
        <rFont val="Calibri"/>
        <family val="2"/>
        <scheme val="minor"/>
      </rPr>
      <t>P,t</t>
    </r>
  </si>
  <si>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</rPr>
      <t>C</t>
    </r>
    <r>
      <rPr>
        <i/>
        <vertAlign val="subscript"/>
        <sz val="11"/>
        <color theme="1"/>
        <rFont val="Calibri"/>
        <family val="2"/>
      </rPr>
      <t>P,t</t>
    </r>
  </si>
  <si>
    <r>
      <t>UNC</t>
    </r>
    <r>
      <rPr>
        <i/>
        <vertAlign val="subscript"/>
        <sz val="11"/>
        <color theme="1"/>
        <rFont val="Calibri"/>
        <family val="2"/>
      </rPr>
      <t>BSL</t>
    </r>
  </si>
  <si>
    <r>
      <t>UNC</t>
    </r>
    <r>
      <rPr>
        <i/>
        <vertAlign val="subscript"/>
        <sz val="11"/>
        <color theme="1"/>
        <rFont val="Calibri"/>
        <family val="2"/>
      </rPr>
      <t>P,t</t>
    </r>
  </si>
  <si>
    <r>
      <t>UNC</t>
    </r>
    <r>
      <rPr>
        <i/>
        <vertAlign val="subscript"/>
        <sz val="11"/>
        <color theme="1"/>
        <rFont val="Calibri"/>
        <family val="2"/>
      </rPr>
      <t>t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</si>
  <si>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ACR</t>
    </r>
    <r>
      <rPr>
        <i/>
        <sz val="11"/>
        <color theme="1"/>
        <rFont val="Calibri"/>
        <family val="2"/>
        <scheme val="minor"/>
      </rPr>
      <t>,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</si>
  <si>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RP,t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</si>
  <si>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VIN,t</t>
    </r>
  </si>
  <si>
    <r>
      <t>BUF</t>
    </r>
    <r>
      <rPr>
        <i/>
        <vertAlign val="subscript"/>
        <sz val="11"/>
        <color theme="1"/>
        <rFont val="Calibri"/>
        <family val="2"/>
        <scheme val="minor"/>
      </rPr>
      <t>RP,t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</si>
  <si>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NETRP,t</t>
    </r>
  </si>
  <si>
    <r>
      <t>BUF</t>
    </r>
    <r>
      <rPr>
        <i/>
        <vertAlign val="subscript"/>
        <sz val="11"/>
        <color theme="1"/>
        <rFont val="Calibri"/>
        <family val="2"/>
        <scheme val="minor"/>
      </rPr>
      <t>VIN,t</t>
    </r>
  </si>
  <si>
    <r>
      <t>ERT</t>
    </r>
    <r>
      <rPr>
        <i/>
        <vertAlign val="subscript"/>
        <sz val="11"/>
        <color theme="1"/>
        <rFont val="Calibri"/>
        <family val="2"/>
        <scheme val="minor"/>
      </rPr>
      <t>NETVIN,t</t>
    </r>
  </si>
  <si>
    <t>Cumulative Total ERTs Issued</t>
  </si>
  <si>
    <t>Cumulative Net ERTs Issued</t>
  </si>
  <si>
    <t>Cumulative Buffer Pool Contributions</t>
  </si>
  <si>
    <t>Baseline Stocks (for Graphs)</t>
  </si>
  <si>
    <t>Crediting Period Year</t>
  </si>
  <si>
    <t>Reporting Period</t>
  </si>
  <si>
    <t>Reporting Date</t>
  </si>
  <si>
    <t>It assumes annual reporting and verifications. If reporting and verifications occur less frequently, please remove columns as necessary to reflect actual Reporting Period length.</t>
  </si>
  <si>
    <r>
      <t xml:space="preserve">Year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</si>
  <si>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Emission Reductions, RP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</si>
  <si>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ERTs, RP </t>
    </r>
    <r>
      <rPr>
        <i/>
        <sz val="11"/>
        <color theme="1"/>
        <rFont val="Calibri"/>
        <family val="2"/>
        <scheme val="minor"/>
      </rPr>
      <t>t</t>
    </r>
  </si>
  <si>
    <r>
      <t xml:space="preserve">Buffer Pool Contribution, RP </t>
    </r>
    <r>
      <rPr>
        <i/>
        <sz val="11"/>
        <color theme="1"/>
        <rFont val="Calibri"/>
        <family val="2"/>
        <scheme val="minor"/>
      </rPr>
      <t>t</t>
    </r>
  </si>
  <si>
    <r>
      <t xml:space="preserve">Net ERTs, RP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</si>
  <si>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ERTs, Vintage A, RP </t>
    </r>
    <r>
      <rPr>
        <i/>
        <sz val="11"/>
        <color theme="1"/>
        <rFont val="Calibri"/>
        <family val="2"/>
        <scheme val="minor"/>
      </rPr>
      <t>t</t>
    </r>
  </si>
  <si>
    <r>
      <t xml:space="preserve">Total ERTs, Vintage B, RP </t>
    </r>
    <r>
      <rPr>
        <i/>
        <sz val="11"/>
        <color theme="1"/>
        <rFont val="Calibri"/>
        <family val="2"/>
        <scheme val="minor"/>
      </rPr>
      <t>t</t>
    </r>
  </si>
  <si>
    <r>
      <t xml:space="preserve">Buffer Pool Contribution, Vintage A, RP </t>
    </r>
    <r>
      <rPr>
        <i/>
        <sz val="11"/>
        <color theme="1"/>
        <rFont val="Calibri"/>
        <family val="2"/>
        <scheme val="minor"/>
      </rPr>
      <t>t</t>
    </r>
  </si>
  <si>
    <r>
      <t xml:space="preserve">Buffer Pool Contribution, Vintage B, RP </t>
    </r>
    <r>
      <rPr>
        <i/>
        <sz val="11"/>
        <color theme="1"/>
        <rFont val="Calibri"/>
        <family val="2"/>
        <scheme val="minor"/>
      </rPr>
      <t>t</t>
    </r>
  </si>
  <si>
    <r>
      <t xml:space="preserve">Net ERTs, Vintage A, RP </t>
    </r>
    <r>
      <rPr>
        <i/>
        <sz val="11"/>
        <color theme="1"/>
        <rFont val="Calibri"/>
        <family val="2"/>
        <scheme val="minor"/>
      </rPr>
      <t>t</t>
    </r>
  </si>
  <si>
    <r>
      <t xml:space="preserve">Net ERTs, Vintage B, RP </t>
    </r>
    <r>
      <rPr>
        <i/>
        <sz val="11"/>
        <color theme="1"/>
        <rFont val="Calibri"/>
        <family val="2"/>
        <scheme val="minor"/>
      </rPr>
      <t>t</t>
    </r>
  </si>
  <si>
    <r>
      <t xml:space="preserve">Reversals at </t>
    </r>
    <r>
      <rPr>
        <i/>
        <sz val="11"/>
        <color theme="1"/>
        <rFont val="Calibri"/>
        <family val="2"/>
        <scheme val="minor"/>
      </rPr>
      <t>t</t>
    </r>
  </si>
  <si>
    <r>
      <rPr>
        <sz val="11"/>
        <color theme="1"/>
        <rFont val="Calibri"/>
        <family val="2"/>
        <scheme val="minor"/>
      </rPr>
      <t xml:space="preserve">ERT calculator for </t>
    </r>
    <r>
      <rPr>
        <b/>
        <sz val="11"/>
        <color theme="1"/>
        <rFont val="Calibri"/>
        <family val="2"/>
        <scheme val="minor"/>
      </rPr>
      <t>version 1.3</t>
    </r>
    <r>
      <rPr>
        <sz val="11"/>
        <color theme="1"/>
        <rFont val="Calibri"/>
        <family val="2"/>
        <scheme val="minor"/>
      </rPr>
      <t xml:space="preserve"> of the American Carbon Registry's methodology</t>
    </r>
    <r>
      <rPr>
        <i/>
        <sz val="11"/>
        <color theme="1"/>
        <rFont val="Calibri"/>
        <family val="2"/>
        <scheme val="minor"/>
      </rPr>
      <t xml:space="preserve"> Improved Forest Management Methodology for Quantifying GHG Removals and Emission Reductions through Increased Forest Carbon Sequestration on Non-Federal U.S. Forestlands</t>
    </r>
  </si>
  <si>
    <t>Negative balance</t>
  </si>
  <si>
    <t>Reversals and negative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</si>
</sst>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1"/>
      <charset val="2"/>
    </font>
    <font>
      <i/>
      <sz val="11"/>
      <color theme="1"/>
      <name val="Symbol"/>
      <family val="1"/>
      <charset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i/>
      <vertAlign val="subscript"/>
      <sz val="10"/>
      <color theme="1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0" borderId="0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164" fontId="0" fillId="3" borderId="0" xfId="0" applyNumberFormat="1" applyFill="1"/>
    <xf numFmtId="0" fontId="4" fillId="0" borderId="0" xfId="0" applyFont="1"/>
    <xf numFmtId="0" fontId="1" fillId="2" borderId="1" xfId="0" applyFont="1" applyFill="1" applyBorder="1" applyAlignment="1"/>
    <xf numFmtId="0" fontId="0" fillId="0" borderId="1" xfId="0" applyBorder="1"/>
    <xf numFmtId="0" fontId="1" fillId="2" borderId="1" xfId="0" applyFont="1" applyFill="1" applyBorder="1"/>
    <xf numFmtId="0" fontId="1" fillId="2" borderId="0" xfId="0" applyFont="1" applyFill="1" applyBorder="1" applyAlignment="1"/>
    <xf numFmtId="164" fontId="0" fillId="3" borderId="0" xfId="0" applyNumberFormat="1" applyFill="1" applyAlignment="1">
      <alignment horizontal="right"/>
    </xf>
    <xf numFmtId="9" fontId="0" fillId="2" borderId="3" xfId="0" applyNumberFormat="1" applyFill="1" applyBorder="1"/>
    <xf numFmtId="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 applyAlignment="1">
      <alignment horizontal="right"/>
    </xf>
    <xf numFmtId="0" fontId="0" fillId="3" borderId="0" xfId="0" applyFill="1" applyBorder="1"/>
    <xf numFmtId="0" fontId="1" fillId="4" borderId="3" xfId="0" applyFont="1" applyFill="1" applyBorder="1"/>
    <xf numFmtId="0" fontId="0" fillId="4" borderId="3" xfId="0" applyFill="1" applyBorder="1"/>
    <xf numFmtId="0" fontId="0" fillId="4" borderId="0" xfId="0" applyFill="1"/>
    <xf numFmtId="0" fontId="1" fillId="5" borderId="0" xfId="0" applyFont="1" applyFill="1" applyBorder="1"/>
    <xf numFmtId="164" fontId="0" fillId="5" borderId="0" xfId="0" applyNumberFormat="1" applyFill="1" applyBorder="1" applyAlignment="1">
      <alignment horizontal="right"/>
    </xf>
    <xf numFmtId="0" fontId="0" fillId="5" borderId="0" xfId="0" applyFill="1" applyBorder="1"/>
    <xf numFmtId="165" fontId="0" fillId="5" borderId="0" xfId="1" applyNumberFormat="1" applyFont="1" applyFill="1" applyBorder="1" applyAlignment="1">
      <alignment horizontal="right"/>
    </xf>
    <xf numFmtId="165" fontId="0" fillId="5" borderId="0" xfId="0" applyNumberFormat="1" applyFill="1" applyBorder="1" applyAlignment="1">
      <alignment horizontal="right"/>
    </xf>
    <xf numFmtId="0" fontId="1" fillId="6" borderId="3" xfId="0" applyFont="1" applyFill="1" applyBorder="1"/>
    <xf numFmtId="0" fontId="0" fillId="6" borderId="3" xfId="0" applyFill="1" applyBorder="1"/>
    <xf numFmtId="0" fontId="0" fillId="6" borderId="0" xfId="0" applyFill="1"/>
    <xf numFmtId="164" fontId="0" fillId="6" borderId="3" xfId="0" applyNumberFormat="1" applyFill="1" applyBorder="1"/>
    <xf numFmtId="164" fontId="0" fillId="6" borderId="0" xfId="0" applyNumberFormat="1" applyFill="1" applyAlignment="1">
      <alignment horizontal="right"/>
    </xf>
    <xf numFmtId="0" fontId="0" fillId="6" borderId="1" xfId="0" applyFill="1" applyBorder="1"/>
    <xf numFmtId="164" fontId="0" fillId="6" borderId="1" xfId="0" applyNumberFormat="1" applyFill="1" applyBorder="1" applyAlignment="1">
      <alignment horizontal="right"/>
    </xf>
    <xf numFmtId="0" fontId="0" fillId="4" borderId="0" xfId="0" applyFill="1" applyBorder="1"/>
    <xf numFmtId="164" fontId="0" fillId="4" borderId="0" xfId="0" applyNumberFormat="1" applyFill="1"/>
    <xf numFmtId="164" fontId="0" fillId="4" borderId="0" xfId="0" applyNumberFormat="1" applyFill="1" applyBorder="1"/>
    <xf numFmtId="14" fontId="0" fillId="2" borderId="0" xfId="0" applyNumberFormat="1" applyFill="1"/>
    <xf numFmtId="1" fontId="0" fillId="4" borderId="0" xfId="0" applyNumberFormat="1" applyFill="1"/>
    <xf numFmtId="1" fontId="0" fillId="4" borderId="0" xfId="0" applyNumberFormat="1" applyFill="1" applyBorder="1"/>
    <xf numFmtId="164" fontId="0" fillId="2" borderId="0" xfId="0" applyNumberFormat="1" applyFill="1"/>
    <xf numFmtId="0" fontId="1" fillId="7" borderId="3" xfId="0" applyFont="1" applyFill="1" applyBorder="1"/>
    <xf numFmtId="164" fontId="0" fillId="7" borderId="3" xfId="0" applyNumberFormat="1" applyFill="1" applyBorder="1"/>
    <xf numFmtId="0" fontId="0" fillId="7" borderId="0" xfId="0" applyFill="1"/>
    <xf numFmtId="164" fontId="0" fillId="7" borderId="0" xfId="0" applyNumberFormat="1" applyFill="1"/>
    <xf numFmtId="1" fontId="0" fillId="7" borderId="0" xfId="0" applyNumberFormat="1" applyFill="1"/>
    <xf numFmtId="0" fontId="0" fillId="7" borderId="1" xfId="0" applyFill="1" applyBorder="1"/>
    <xf numFmtId="164" fontId="0" fillId="7" borderId="1" xfId="0" applyNumberFormat="1" applyFill="1" applyBorder="1"/>
    <xf numFmtId="1" fontId="0" fillId="7" borderId="1" xfId="0" applyNumberFormat="1" applyFill="1" applyBorder="1"/>
    <xf numFmtId="9" fontId="0" fillId="2" borderId="0" xfId="1" applyFont="1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17" fontId="0" fillId="0" borderId="0" xfId="0" applyNumberFormat="1"/>
    <xf numFmtId="1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No Harvest Project Scenario, 1st Crediting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Project Stocks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Project'!$D$65:$X$65</c:f>
              <c:numCache>
                <c:formatCode>0.0</c:formatCode>
                <c:ptCount val="21"/>
                <c:pt idx="0">
                  <c:v>20939.759999999998</c:v>
                </c:pt>
                <c:pt idx="1">
                  <c:v>21749.137600000002</c:v>
                </c:pt>
                <c:pt idx="2">
                  <c:v>22533.966400000001</c:v>
                </c:pt>
                <c:pt idx="3">
                  <c:v>23283.9872</c:v>
                </c:pt>
                <c:pt idx="4">
                  <c:v>24161.515200000002</c:v>
                </c:pt>
                <c:pt idx="5">
                  <c:v>24952.572799999998</c:v>
                </c:pt>
                <c:pt idx="6">
                  <c:v>25654.961600000002</c:v>
                </c:pt>
                <c:pt idx="7">
                  <c:v>26458.4768</c:v>
                </c:pt>
                <c:pt idx="8">
                  <c:v>27168.926400000004</c:v>
                </c:pt>
                <c:pt idx="9">
                  <c:v>27794.004800000002</c:v>
                </c:pt>
                <c:pt idx="10">
                  <c:v>28409.556799999998</c:v>
                </c:pt>
                <c:pt idx="11">
                  <c:v>29023.2768</c:v>
                </c:pt>
                <c:pt idx="12">
                  <c:v>29603.458390067615</c:v>
                </c:pt>
                <c:pt idx="13">
                  <c:v>30153.403660949331</c:v>
                </c:pt>
                <c:pt idx="14">
                  <c:v>30713.241731831051</c:v>
                </c:pt>
                <c:pt idx="15">
                  <c:v>31218.119802712772</c:v>
                </c:pt>
                <c:pt idx="16">
                  <c:v>31697.716273594488</c:v>
                </c:pt>
                <c:pt idx="17">
                  <c:v>32175.560815537065</c:v>
                </c:pt>
                <c:pt idx="18">
                  <c:v>32646.124830212328</c:v>
                </c:pt>
                <c:pt idx="19">
                  <c:v>33072.354444887591</c:v>
                </c:pt>
                <c:pt idx="20">
                  <c:v>33512.873659562858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A5-464E-A86F-E0C6BCCA2D9D}"/>
            </c:ext>
          </c:extLst>
        </c:ser>
        <c:ser>
          <c:idx val="2"/>
          <c:order val="1"/>
          <c:tx>
            <c:v>Baseline Stocks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Project'!$D$63:$X$63</c:f>
              <c:numCache>
                <c:formatCode>0.0</c:formatCode>
                <c:ptCount val="21"/>
                <c:pt idx="0">
                  <c:v>20939.759999999998</c:v>
                </c:pt>
                <c:pt idx="1">
                  <c:v>15536.8256</c:v>
                </c:pt>
                <c:pt idx="2">
                  <c:v>10801.472000000002</c:v>
                </c:pt>
                <c:pt idx="3">
                  <c:v>11392.475199999999</c:v>
                </c:pt>
                <c:pt idx="4">
                  <c:v>12145.793600000001</c:v>
                </c:pt>
                <c:pt idx="5">
                  <c:v>12795.4208</c:v>
                </c:pt>
                <c:pt idx="6">
                  <c:v>13386.424000000001</c:v>
                </c:pt>
                <c:pt idx="7">
                  <c:v>14081.851199999999</c:v>
                </c:pt>
                <c:pt idx="8">
                  <c:v>11973.951999999999</c:v>
                </c:pt>
                <c:pt idx="9">
                  <c:v>12481.416000000001</c:v>
                </c:pt>
                <c:pt idx="10">
                  <c:v>12999.871999999998</c:v>
                </c:pt>
                <c:pt idx="11">
                  <c:v>10535.465600000001</c:v>
                </c:pt>
                <c:pt idx="12">
                  <c:v>11117.308799999999</c:v>
                </c:pt>
                <c:pt idx="13">
                  <c:v>11771.3328</c:v>
                </c:pt>
                <c:pt idx="14">
                  <c:v>8851.8576000000012</c:v>
                </c:pt>
                <c:pt idx="15">
                  <c:v>9496.7216000000008</c:v>
                </c:pt>
                <c:pt idx="16">
                  <c:v>10157.340799999998</c:v>
                </c:pt>
                <c:pt idx="17">
                  <c:v>11228.328</c:v>
                </c:pt>
                <c:pt idx="18">
                  <c:v>12418.7616</c:v>
                </c:pt>
                <c:pt idx="19">
                  <c:v>13305.083199999999</c:v>
                </c:pt>
                <c:pt idx="20">
                  <c:v>10789.380800000001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A5-464E-A86F-E0C6BCCA2D9D}"/>
            </c:ext>
          </c:extLst>
        </c:ser>
        <c:ser>
          <c:idx val="3"/>
          <c:order val="2"/>
          <c:tx>
            <c:v>Baseline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A-No Harvest Project'!$D$64:$X$64</c:f>
              <c:numCache>
                <c:formatCode>0.0</c:formatCode>
                <c:ptCount val="21"/>
                <c:pt idx="0">
                  <c:v>20939.759999999998</c:v>
                </c:pt>
                <c:pt idx="1">
                  <c:v>15536.8256</c:v>
                </c:pt>
                <c:pt idx="2">
                  <c:v>12023.932624000003</c:v>
                </c:pt>
                <c:pt idx="3">
                  <c:v>12023.932624000003</c:v>
                </c:pt>
                <c:pt idx="4">
                  <c:v>12023.932624000003</c:v>
                </c:pt>
                <c:pt idx="5">
                  <c:v>12023.932624000003</c:v>
                </c:pt>
                <c:pt idx="6">
                  <c:v>12023.932624000003</c:v>
                </c:pt>
                <c:pt idx="7">
                  <c:v>12023.932624000003</c:v>
                </c:pt>
                <c:pt idx="8">
                  <c:v>12023.932624000003</c:v>
                </c:pt>
                <c:pt idx="9">
                  <c:v>12023.932624000003</c:v>
                </c:pt>
                <c:pt idx="10">
                  <c:v>12023.932624000003</c:v>
                </c:pt>
                <c:pt idx="11">
                  <c:v>12023.932624000003</c:v>
                </c:pt>
                <c:pt idx="12">
                  <c:v>12023.932624000003</c:v>
                </c:pt>
                <c:pt idx="13">
                  <c:v>12023.932624000003</c:v>
                </c:pt>
                <c:pt idx="14">
                  <c:v>12023.932624000003</c:v>
                </c:pt>
                <c:pt idx="15">
                  <c:v>12023.932624000003</c:v>
                </c:pt>
                <c:pt idx="16">
                  <c:v>12023.932624000003</c:v>
                </c:pt>
                <c:pt idx="17">
                  <c:v>12023.932624000003</c:v>
                </c:pt>
                <c:pt idx="18">
                  <c:v>12023.932624000003</c:v>
                </c:pt>
                <c:pt idx="19">
                  <c:v>12023.932624000003</c:v>
                </c:pt>
                <c:pt idx="20">
                  <c:v>12023.932624000003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A5-464E-A86F-E0C6BCCA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82424"/>
        <c:axId val="566183408"/>
      </c:lineChart>
      <c:scatterChart>
        <c:scatterStyle val="lineMarker"/>
        <c:varyColors val="0"/>
        <c:ser>
          <c:idx val="0"/>
          <c:order val="3"/>
          <c:tx>
            <c:v>Initial Carbon Stocks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'Example A-No Harvest Project'!$D$62:$X$62</c:f>
              <c:numCache>
                <c:formatCode>0.0</c:formatCode>
                <c:ptCount val="21"/>
                <c:pt idx="0">
                  <c:v>20939.759999999998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A5-464E-A86F-E0C6BCCA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182424"/>
        <c:axId val="566183408"/>
      </c:scatterChart>
      <c:catAx>
        <c:axId val="56618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Project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3408"/>
        <c:crosses val="autoZero"/>
        <c:auto val="1"/>
        <c:lblAlgn val="ctr"/>
        <c:lblOffset val="100"/>
        <c:noMultiLvlLbl val="0"/>
      </c:catAx>
      <c:valAx>
        <c:axId val="5661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Carbon stocks (t CO2e)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4322830292979547E-2"/>
              <c:y val="0.25754317450391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Light Harvest Project Scenario, 1st Crediting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Project Stocks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Project'!$D$65:$X$65</c:f>
              <c:numCache>
                <c:formatCode>0.0</c:formatCode>
                <c:ptCount val="21"/>
                <c:pt idx="0">
                  <c:v>18758.947200000002</c:v>
                </c:pt>
                <c:pt idx="1">
                  <c:v>19596.171199999997</c:v>
                </c:pt>
                <c:pt idx="2">
                  <c:v>20404.4496</c:v>
                </c:pt>
                <c:pt idx="3">
                  <c:v>19249.556799999998</c:v>
                </c:pt>
                <c:pt idx="4">
                  <c:v>20264.484800000006</c:v>
                </c:pt>
                <c:pt idx="5">
                  <c:v>21120.395199999999</c:v>
                </c:pt>
                <c:pt idx="6">
                  <c:v>21877.377600000003</c:v>
                </c:pt>
                <c:pt idx="7">
                  <c:v>22797.774400000002</c:v>
                </c:pt>
                <c:pt idx="8">
                  <c:v>23582.236799999999</c:v>
                </c:pt>
                <c:pt idx="9">
                  <c:v>24274</c:v>
                </c:pt>
                <c:pt idx="10">
                  <c:v>24950.007999999998</c:v>
                </c:pt>
                <c:pt idx="11">
                  <c:v>25619.054400000001</c:v>
                </c:pt>
                <c:pt idx="12">
                  <c:v>26255.109428081138</c:v>
                </c:pt>
                <c:pt idx="13">
                  <c:v>24271.467753139201</c:v>
                </c:pt>
                <c:pt idx="14">
                  <c:v>24872.04527819726</c:v>
                </c:pt>
                <c:pt idx="15">
                  <c:v>25432.318803255326</c:v>
                </c:pt>
                <c:pt idx="16">
                  <c:v>25979.768328313388</c:v>
                </c:pt>
                <c:pt idx="17">
                  <c:v>26516.225853371448</c:v>
                </c:pt>
                <c:pt idx="18">
                  <c:v>27039.859378429508</c:v>
                </c:pt>
                <c:pt idx="19">
                  <c:v>24401.460903487572</c:v>
                </c:pt>
                <c:pt idx="20">
                  <c:v>24914.102428545633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CD-40E6-8A86-82459A193DF6}"/>
            </c:ext>
          </c:extLst>
        </c:ser>
        <c:ser>
          <c:idx val="2"/>
          <c:order val="1"/>
          <c:tx>
            <c:v>Baseline Stocks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Project'!$D$63:$X$63</c:f>
              <c:numCache>
                <c:formatCode>0.0</c:formatCode>
                <c:ptCount val="21"/>
                <c:pt idx="0">
                  <c:v>18758.947200000002</c:v>
                </c:pt>
                <c:pt idx="1">
                  <c:v>13662.689600000002</c:v>
                </c:pt>
                <c:pt idx="2">
                  <c:v>10470.612800000001</c:v>
                </c:pt>
                <c:pt idx="3">
                  <c:v>11138.193599999999</c:v>
                </c:pt>
                <c:pt idx="4">
                  <c:v>12073.9792</c:v>
                </c:pt>
                <c:pt idx="5">
                  <c:v>12837.190399999999</c:v>
                </c:pt>
                <c:pt idx="6">
                  <c:v>13517.961599999999</c:v>
                </c:pt>
                <c:pt idx="7">
                  <c:v>14364.712</c:v>
                </c:pt>
                <c:pt idx="8">
                  <c:v>12668.280000000002</c:v>
                </c:pt>
                <c:pt idx="9">
                  <c:v>13271.7408</c:v>
                </c:pt>
                <c:pt idx="10">
                  <c:v>13880.331200000002</c:v>
                </c:pt>
                <c:pt idx="11">
                  <c:v>11494.334400000002</c:v>
                </c:pt>
                <c:pt idx="12">
                  <c:v>12137.7328</c:v>
                </c:pt>
                <c:pt idx="13">
                  <c:v>12832.060799999997</c:v>
                </c:pt>
                <c:pt idx="14">
                  <c:v>10538.396800000002</c:v>
                </c:pt>
                <c:pt idx="15">
                  <c:v>11206.7104</c:v>
                </c:pt>
                <c:pt idx="16">
                  <c:v>11881.619200000001</c:v>
                </c:pt>
                <c:pt idx="17">
                  <c:v>12937.217600000002</c:v>
                </c:pt>
                <c:pt idx="18">
                  <c:v>14012.968000000001</c:v>
                </c:pt>
                <c:pt idx="19">
                  <c:v>14849.8256</c:v>
                </c:pt>
                <c:pt idx="20">
                  <c:v>12608.5568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CD-40E6-8A86-82459A193DF6}"/>
            </c:ext>
          </c:extLst>
        </c:ser>
        <c:ser>
          <c:idx val="3"/>
          <c:order val="2"/>
          <c:tx>
            <c:v>Baseline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'Example A-No Harvest Project'!$D$20:$X$20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'Example B-Light Harvest Project'!$D$64:$X$64</c:f>
              <c:numCache>
                <c:formatCode>0.0</c:formatCode>
                <c:ptCount val="21"/>
                <c:pt idx="0">
                  <c:v>18758.947200000002</c:v>
                </c:pt>
                <c:pt idx="1">
                  <c:v>13662.689600000002</c:v>
                </c:pt>
                <c:pt idx="2">
                  <c:v>12760.403951999999</c:v>
                </c:pt>
                <c:pt idx="3">
                  <c:v>12760.403951999999</c:v>
                </c:pt>
                <c:pt idx="4">
                  <c:v>12760.403951999999</c:v>
                </c:pt>
                <c:pt idx="5">
                  <c:v>12760.403951999999</c:v>
                </c:pt>
                <c:pt idx="6">
                  <c:v>12760.403951999999</c:v>
                </c:pt>
                <c:pt idx="7">
                  <c:v>12760.403951999999</c:v>
                </c:pt>
                <c:pt idx="8">
                  <c:v>12760.403951999999</c:v>
                </c:pt>
                <c:pt idx="9">
                  <c:v>12760.403951999999</c:v>
                </c:pt>
                <c:pt idx="10">
                  <c:v>12760.403951999999</c:v>
                </c:pt>
                <c:pt idx="11">
                  <c:v>12760.403951999999</c:v>
                </c:pt>
                <c:pt idx="12">
                  <c:v>12760.403951999999</c:v>
                </c:pt>
                <c:pt idx="13">
                  <c:v>12760.403951999999</c:v>
                </c:pt>
                <c:pt idx="14">
                  <c:v>12760.403951999999</c:v>
                </c:pt>
                <c:pt idx="15">
                  <c:v>12760.403951999999</c:v>
                </c:pt>
                <c:pt idx="16">
                  <c:v>12760.403951999999</c:v>
                </c:pt>
                <c:pt idx="17">
                  <c:v>12760.403951999999</c:v>
                </c:pt>
                <c:pt idx="18">
                  <c:v>12760.403951999999</c:v>
                </c:pt>
                <c:pt idx="19">
                  <c:v>12760.403951999999</c:v>
                </c:pt>
                <c:pt idx="20">
                  <c:v>12760.403951999999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D-40E6-8A86-82459A1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82424"/>
        <c:axId val="566183408"/>
      </c:lineChart>
      <c:scatterChart>
        <c:scatterStyle val="lineMarker"/>
        <c:varyColors val="0"/>
        <c:ser>
          <c:idx val="0"/>
          <c:order val="3"/>
          <c:tx>
            <c:v>Initial Carbon Stocks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'Example B-Light Harvest Project'!$D$62:$X$62</c:f>
              <c:numCache>
                <c:formatCode>0.0</c:formatCode>
                <c:ptCount val="21"/>
                <c:pt idx="0">
                  <c:v>18758.947200000002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CD-40E6-8A86-82459A193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182424"/>
        <c:axId val="566183408"/>
      </c:scatterChart>
      <c:catAx>
        <c:axId val="56618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Project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3408"/>
        <c:crosses val="autoZero"/>
        <c:auto val="1"/>
        <c:lblAlgn val="ctr"/>
        <c:lblOffset val="100"/>
        <c:noMultiLvlLbl val="0"/>
      </c:catAx>
      <c:valAx>
        <c:axId val="5661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Carbon stocks (t CO2e)</a:t>
                </a: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2.4322830292979547E-2"/>
              <c:y val="0.257543174503910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lang="en-US"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1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9</xdr:col>
      <xdr:colOff>257175</xdr:colOff>
      <xdr:row>19</xdr:row>
      <xdr:rowOff>42864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D0B9018-A63B-4591-AE0C-3D5DD7D21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171450</xdr:rowOff>
    </xdr:from>
    <xdr:to>
      <xdr:col>9</xdr:col>
      <xdr:colOff>257175</xdr:colOff>
      <xdr:row>40</xdr:row>
      <xdr:rowOff>33339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844388-0D44-4292-BECE-2A99D8AC3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aylor, Andrew" id="{9D806F36-0F0A-4807-B637-D57CBD067F3A}" userId="S::Andrew.Taylor@winrock.org::aebfda3d-ecea-4655-8858-78384daafa3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12" dT="2020-04-02T21:03:54.21" personId="{9D806F36-0F0A-4807-B637-D57CBD067F3A}" id="{81A2D5FA-C531-4A13-BBEA-B96E10C78375}">
    <text>New inventory data is measured every 10 years, in compliance with the IFM protocol. This calculates new uncertainty stats.</text>
  </threadedComment>
  <threadedComment ref="E48" dT="2020-12-28T18:48:26.60" personId="{9D806F36-0F0A-4807-B637-D57CBD067F3A}" id="{64FC928D-2CD6-4567-8ED2-7800DF045812}">
    <text>Example A assumes a project Start Date of 9/15/2020. The Start Date can be set in ACR Parameters (cell E16). This function only works as written for annual reporting and verifications.</text>
  </threadedComment>
  <threadedComment ref="E58" dT="2021-04-19T18:40:41.06" personId="{9D806F36-0F0A-4807-B637-D57CBD067F3A}" id="{E7F7604D-FF82-420E-BD08-4D3D4C2BE7ED}">
    <text>Negative balance is only applicable prior to the projects first offset credit issuance.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O12" dT="2020-04-02T21:03:54.21" personId="{9D806F36-0F0A-4807-B637-D57CBD067F3A}" id="{D194ED31-FB9A-4144-B7DD-F52440A08F42}">
    <text>New inventory data is measured every 10 years, in compliance with the IFM protocol. This calculates new uncertainty stats.</text>
  </threadedComment>
  <threadedComment ref="E48" dT="2020-12-28T18:48:26.60" personId="{9D806F36-0F0A-4807-B637-D57CBD067F3A}" id="{F87A02E5-09A9-4E97-B174-F1C60D491ACA}">
    <text>Example B assumes a project Start Date of 6/1/2020. The Start Date can be set in ACR Parameters (cell E16). This function only works as written for annual reporting and verifications.</text>
  </threadedComment>
  <threadedComment ref="E58" dT="2021-04-19T18:40:41.06" personId="{9D806F36-0F0A-4807-B637-D57CBD067F3A}" id="{7F71EE91-7B72-4A19-949C-918D54DF6F00}">
    <text>Negative balance is only applicable prior to the projects first offset credit issuance.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FC98-A67D-42F2-8EB9-7AA9BDEF53F9}">
  <dimension ref="A1:B7"/>
  <sheetViews>
    <sheetView tabSelected="1" workbookViewId="0"/>
  </sheetViews>
  <sheetFormatPr defaultRowHeight="15"/>
  <sheetData>
    <row r="1" spans="1:2">
      <c r="A1" s="2" t="s">
        <v>51</v>
      </c>
      <c r="B1" s="13" t="s">
        <v>107</v>
      </c>
    </row>
    <row r="3" spans="1:2">
      <c r="A3" s="2" t="s">
        <v>52</v>
      </c>
      <c r="B3" s="1">
        <v>1.3</v>
      </c>
    </row>
    <row r="5" spans="1:2">
      <c r="A5" s="2" t="s">
        <v>53</v>
      </c>
      <c r="B5" s="67">
        <v>44287</v>
      </c>
    </row>
    <row r="7" spans="1:2">
      <c r="A7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DBAE-7E69-43ED-A51A-8CF3E510BCE6}">
  <sheetPr>
    <pageSetUpPr autoPageBreaks="0"/>
  </sheetPr>
  <dimension ref="A1:AR74"/>
  <sheetViews>
    <sheetView zoomScaleNormal="100" zoomScaleSheetLayoutView="70" workbookViewId="0"/>
  </sheetViews>
  <sheetFormatPr defaultRowHeight="15"/>
  <cols>
    <col min="2" max="2" width="15.5703125" customWidth="1"/>
    <col min="3" max="3" width="34.42578125" customWidth="1"/>
    <col min="4" max="4" width="9.7109375" bestFit="1" customWidth="1"/>
    <col min="5" max="24" width="9.7109375" customWidth="1"/>
  </cols>
  <sheetData>
    <row r="1" spans="1:24">
      <c r="B1" t="s">
        <v>49</v>
      </c>
    </row>
    <row r="2" spans="1:24">
      <c r="B2" t="s">
        <v>94</v>
      </c>
    </row>
    <row r="3" spans="1:24">
      <c r="B3" t="s">
        <v>35</v>
      </c>
    </row>
    <row r="4" spans="1:24">
      <c r="B4" t="s">
        <v>36</v>
      </c>
    </row>
    <row r="5" spans="1:24">
      <c r="B5" t="s">
        <v>15</v>
      </c>
      <c r="M5" s="13"/>
    </row>
    <row r="7" spans="1:24">
      <c r="A7" s="3"/>
      <c r="B7" s="3"/>
      <c r="C7" s="3"/>
      <c r="D7" s="3"/>
      <c r="E7" s="3"/>
      <c r="F7" s="3"/>
      <c r="G7" s="3"/>
      <c r="H7" s="3"/>
      <c r="I7" s="72" t="s">
        <v>46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3"/>
      <c r="U7" s="3"/>
      <c r="V7" s="3"/>
      <c r="W7" s="3"/>
      <c r="X7" s="3"/>
    </row>
    <row r="8" spans="1:24">
      <c r="A8" s="3"/>
      <c r="B8" s="3"/>
      <c r="C8" s="3"/>
      <c r="D8" s="3"/>
      <c r="E8" s="3"/>
      <c r="F8" s="3"/>
      <c r="G8" s="17"/>
      <c r="H8" s="17"/>
      <c r="I8" s="17"/>
      <c r="J8" s="71" t="s">
        <v>40</v>
      </c>
      <c r="K8" s="71"/>
      <c r="L8" s="71"/>
      <c r="M8" s="71"/>
      <c r="N8" s="71"/>
      <c r="O8" s="71"/>
      <c r="P8" s="71"/>
      <c r="Q8" s="71"/>
      <c r="R8" s="71"/>
      <c r="S8" s="17"/>
      <c r="T8" s="17"/>
      <c r="U8" s="17"/>
      <c r="V8" s="3"/>
      <c r="W8" s="3"/>
      <c r="X8" s="3"/>
    </row>
    <row r="9" spans="1:24">
      <c r="A9" s="9"/>
      <c r="B9" s="9"/>
      <c r="C9" s="9"/>
      <c r="D9" s="9"/>
      <c r="E9" s="15"/>
      <c r="F9" s="9"/>
      <c r="G9" s="9"/>
      <c r="H9" s="9"/>
      <c r="I9" s="15"/>
      <c r="J9" s="14"/>
      <c r="K9" s="73" t="s">
        <v>39</v>
      </c>
      <c r="L9" s="73"/>
      <c r="M9" s="73"/>
      <c r="N9" s="73"/>
      <c r="O9" s="73"/>
      <c r="P9" s="73"/>
      <c r="Q9" s="73"/>
      <c r="R9" s="14"/>
      <c r="S9" s="14"/>
      <c r="T9" s="9"/>
      <c r="U9" s="9"/>
      <c r="V9" s="16"/>
      <c r="W9" s="16"/>
      <c r="X9" s="16"/>
    </row>
    <row r="10" spans="1:2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5"/>
      <c r="B12" s="3"/>
      <c r="C12" s="73" t="s">
        <v>7</v>
      </c>
      <c r="D12" s="73"/>
      <c r="E12" s="73"/>
      <c r="F12" s="3"/>
      <c r="G12" s="3"/>
      <c r="H12" s="3"/>
      <c r="I12" s="3"/>
      <c r="J12" s="3"/>
      <c r="K12" s="3"/>
      <c r="L12" s="3"/>
      <c r="M12" s="3"/>
      <c r="O12" s="73" t="s">
        <v>31</v>
      </c>
      <c r="P12" s="73"/>
      <c r="Q12" s="73"/>
      <c r="R12" s="73"/>
      <c r="S12" s="73"/>
      <c r="T12" s="3"/>
      <c r="U12" s="3"/>
      <c r="V12" s="3"/>
      <c r="W12" s="3"/>
    </row>
    <row r="13" spans="1:24" ht="18">
      <c r="A13" s="74" t="s">
        <v>27</v>
      </c>
      <c r="B13" s="74"/>
      <c r="C13" s="76" t="s">
        <v>24</v>
      </c>
      <c r="D13" s="76"/>
      <c r="E13" s="19">
        <v>7.0000000000000007E-2</v>
      </c>
      <c r="F13" s="3"/>
      <c r="G13" s="48"/>
      <c r="H13" s="48"/>
      <c r="I13" s="48"/>
      <c r="J13" s="3"/>
      <c r="K13" s="3"/>
      <c r="L13" s="3"/>
      <c r="M13" s="3"/>
      <c r="N13" s="3" t="s">
        <v>32</v>
      </c>
      <c r="O13" s="75" t="s">
        <v>29</v>
      </c>
      <c r="P13" s="75"/>
      <c r="Q13" s="75"/>
      <c r="R13" s="75"/>
      <c r="S13" s="20">
        <v>0.05</v>
      </c>
      <c r="T13" s="3"/>
      <c r="U13" s="3"/>
      <c r="V13" s="3"/>
      <c r="W13" s="3"/>
      <c r="X13" s="3"/>
    </row>
    <row r="14" spans="1:24" ht="18">
      <c r="A14" s="74" t="s">
        <v>28</v>
      </c>
      <c r="B14" s="74"/>
      <c r="C14" s="70" t="s">
        <v>25</v>
      </c>
      <c r="D14" s="70"/>
      <c r="E14" s="20">
        <v>0.28000000000000003</v>
      </c>
      <c r="F14" s="3"/>
      <c r="G14" s="48"/>
      <c r="H14" s="48"/>
      <c r="I14" s="48"/>
      <c r="J14" s="3"/>
      <c r="K14" s="3"/>
      <c r="L14" s="3"/>
      <c r="M14" s="3"/>
      <c r="N14" s="3" t="s">
        <v>33</v>
      </c>
      <c r="O14" s="70" t="s">
        <v>30</v>
      </c>
      <c r="P14" s="70"/>
      <c r="Q14" s="70"/>
      <c r="R14" s="70"/>
      <c r="S14" s="20">
        <v>0.23</v>
      </c>
      <c r="T14" s="3"/>
      <c r="U14" s="3"/>
      <c r="V14" s="3"/>
      <c r="W14" s="3"/>
      <c r="X14" s="3"/>
    </row>
    <row r="15" spans="1:24">
      <c r="A15" s="5"/>
      <c r="B15" s="3" t="s">
        <v>13</v>
      </c>
      <c r="C15" s="70" t="s">
        <v>4</v>
      </c>
      <c r="D15" s="70"/>
      <c r="E15" s="57">
        <v>0.4</v>
      </c>
      <c r="F15" s="3"/>
      <c r="G15" s="48"/>
      <c r="H15" s="48"/>
      <c r="I15" s="48"/>
      <c r="J15" s="4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5"/>
      <c r="B16" s="3" t="s">
        <v>12</v>
      </c>
      <c r="C16" s="70" t="s">
        <v>26</v>
      </c>
      <c r="D16" s="70"/>
      <c r="E16" s="20">
        <v>0.15</v>
      </c>
      <c r="F16" s="3"/>
      <c r="G16" s="48"/>
      <c r="H16" s="48"/>
      <c r="I16" s="48"/>
      <c r="J16" s="48"/>
      <c r="K16" s="48"/>
      <c r="L16" s="4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5"/>
      <c r="B17" s="3"/>
      <c r="C17" s="70" t="s">
        <v>42</v>
      </c>
      <c r="D17" s="70"/>
      <c r="E17" s="45">
        <v>44089</v>
      </c>
      <c r="F17" s="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>
      <c r="A18" s="5"/>
      <c r="B18" s="3"/>
      <c r="C18" s="3"/>
      <c r="D18" s="3"/>
      <c r="E18" s="20"/>
      <c r="F18" s="3"/>
      <c r="G18" s="3"/>
      <c r="H18" s="4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5"/>
      <c r="B19" s="3"/>
      <c r="C19" s="3"/>
      <c r="D19" s="3"/>
      <c r="E19" s="3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thickBot="1">
      <c r="A20" s="21"/>
      <c r="B20" s="4"/>
      <c r="C20" s="7" t="s">
        <v>91</v>
      </c>
      <c r="D20" s="8">
        <v>0</v>
      </c>
      <c r="E20" s="8">
        <f>D20+1</f>
        <v>1</v>
      </c>
      <c r="F20" s="8">
        <f t="shared" ref="F20:U20" si="0">E20+1</f>
        <v>2</v>
      </c>
      <c r="G20" s="8">
        <f t="shared" si="0"/>
        <v>3</v>
      </c>
      <c r="H20" s="8">
        <f t="shared" si="0"/>
        <v>4</v>
      </c>
      <c r="I20" s="8">
        <f t="shared" si="0"/>
        <v>5</v>
      </c>
      <c r="J20" s="8">
        <f t="shared" si="0"/>
        <v>6</v>
      </c>
      <c r="K20" s="8">
        <f t="shared" si="0"/>
        <v>7</v>
      </c>
      <c r="L20" s="8">
        <f t="shared" si="0"/>
        <v>8</v>
      </c>
      <c r="M20" s="8">
        <f>L20+1</f>
        <v>9</v>
      </c>
      <c r="N20" s="8">
        <f t="shared" si="0"/>
        <v>10</v>
      </c>
      <c r="O20" s="8">
        <f t="shared" si="0"/>
        <v>11</v>
      </c>
      <c r="P20" s="8">
        <f t="shared" si="0"/>
        <v>12</v>
      </c>
      <c r="Q20" s="8">
        <f t="shared" si="0"/>
        <v>13</v>
      </c>
      <c r="R20" s="8">
        <f t="shared" si="0"/>
        <v>14</v>
      </c>
      <c r="S20" s="8">
        <f t="shared" si="0"/>
        <v>15</v>
      </c>
      <c r="T20" s="8">
        <f t="shared" si="0"/>
        <v>16</v>
      </c>
      <c r="U20" s="8">
        <f t="shared" si="0"/>
        <v>17</v>
      </c>
      <c r="V20" s="8">
        <f t="shared" ref="V20:W20" si="1">U20+1</f>
        <v>18</v>
      </c>
      <c r="W20" s="8">
        <f t="shared" si="1"/>
        <v>19</v>
      </c>
      <c r="X20" s="8">
        <f>W20+1</f>
        <v>20</v>
      </c>
    </row>
    <row r="21" spans="1:24" ht="16.5" thickTop="1" thickBot="1">
      <c r="A21" s="60"/>
      <c r="B21" s="4"/>
      <c r="C21" s="7" t="s">
        <v>92</v>
      </c>
      <c r="D21" s="8"/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</row>
    <row r="22" spans="1:24" ht="16.5" thickTop="1" thickBot="1">
      <c r="A22" s="69" t="s">
        <v>9</v>
      </c>
      <c r="B22" s="4" t="s">
        <v>10</v>
      </c>
      <c r="C22" s="7" t="s">
        <v>93</v>
      </c>
      <c r="D22" s="68">
        <v>44089</v>
      </c>
      <c r="E22" s="68">
        <v>44454</v>
      </c>
      <c r="F22" s="68">
        <v>44819</v>
      </c>
      <c r="G22" s="68">
        <v>45184</v>
      </c>
      <c r="H22" s="68">
        <v>45550</v>
      </c>
      <c r="I22" s="68">
        <v>45915</v>
      </c>
      <c r="J22" s="68">
        <v>46280</v>
      </c>
      <c r="K22" s="68">
        <v>46645</v>
      </c>
      <c r="L22" s="68">
        <v>47011</v>
      </c>
      <c r="M22" s="68">
        <v>47376</v>
      </c>
      <c r="N22" s="68">
        <v>47741</v>
      </c>
      <c r="O22" s="68">
        <v>48106</v>
      </c>
      <c r="P22" s="68">
        <v>48472</v>
      </c>
      <c r="Q22" s="68">
        <v>48837</v>
      </c>
      <c r="R22" s="68">
        <v>49202</v>
      </c>
      <c r="S22" s="68">
        <v>49567</v>
      </c>
      <c r="T22" s="68">
        <v>49933</v>
      </c>
      <c r="U22" s="68">
        <v>50298</v>
      </c>
      <c r="V22" s="68">
        <v>50663</v>
      </c>
      <c r="W22" s="68">
        <v>51028</v>
      </c>
      <c r="X22" s="68">
        <v>51394</v>
      </c>
    </row>
    <row r="23" spans="1:24" ht="15.75" thickTop="1">
      <c r="A23" s="21"/>
      <c r="B23" s="62"/>
      <c r="C23" s="22" t="s">
        <v>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8">
      <c r="A24" s="5">
        <v>1</v>
      </c>
      <c r="B24" s="63" t="s">
        <v>64</v>
      </c>
      <c r="C24" s="24" t="s">
        <v>20</v>
      </c>
      <c r="D24" s="18">
        <v>19425.062399999999</v>
      </c>
      <c r="E24" s="18">
        <v>14520.0656</v>
      </c>
      <c r="F24" s="18">
        <v>10212.667200000002</v>
      </c>
      <c r="G24" s="18">
        <v>10744.313599999999</v>
      </c>
      <c r="H24" s="18">
        <v>11430.580800000002</v>
      </c>
      <c r="I24" s="18">
        <v>12008.393599999999</v>
      </c>
      <c r="J24" s="18">
        <v>12534.177600000001</v>
      </c>
      <c r="K24" s="18">
        <v>13159.255999999999</v>
      </c>
      <c r="L24" s="18">
        <v>11227.228799999999</v>
      </c>
      <c r="M24" s="18">
        <v>11673.1376</v>
      </c>
      <c r="N24" s="18">
        <v>12127.839999999998</v>
      </c>
      <c r="O24" s="18">
        <v>9879.6096000000016</v>
      </c>
      <c r="P24" s="18">
        <v>10403.561599999999</v>
      </c>
      <c r="Q24" s="18">
        <v>10999.6944</v>
      </c>
      <c r="R24" s="18">
        <v>8353.9200000000019</v>
      </c>
      <c r="S24" s="18">
        <v>8949.32</v>
      </c>
      <c r="T24" s="18">
        <v>9567.0703999999987</v>
      </c>
      <c r="U24" s="18">
        <v>10588.227199999999</v>
      </c>
      <c r="V24" s="18">
        <v>11717.838400000001</v>
      </c>
      <c r="W24" s="18">
        <v>12543.704</v>
      </c>
      <c r="X24" s="18">
        <v>10277.52</v>
      </c>
    </row>
    <row r="25" spans="1:24" ht="18">
      <c r="A25" s="5">
        <v>2</v>
      </c>
      <c r="B25" s="63" t="s">
        <v>65</v>
      </c>
      <c r="C25" s="24" t="s">
        <v>21</v>
      </c>
      <c r="D25" s="18">
        <v>1514.6976000000002</v>
      </c>
      <c r="E25" s="18">
        <v>1016.76</v>
      </c>
      <c r="F25" s="18">
        <v>588.8048</v>
      </c>
      <c r="G25" s="18">
        <v>648.16160000000013</v>
      </c>
      <c r="H25" s="18">
        <v>715.21280000000002</v>
      </c>
      <c r="I25" s="18">
        <v>787.02719999999999</v>
      </c>
      <c r="J25" s="18">
        <v>852.24639999999988</v>
      </c>
      <c r="K25" s="18">
        <v>922.59519999999998</v>
      </c>
      <c r="L25" s="18">
        <v>746.72320000000002</v>
      </c>
      <c r="M25" s="18">
        <v>808.27840000000015</v>
      </c>
      <c r="N25" s="18">
        <v>872.03200000000004</v>
      </c>
      <c r="O25" s="18">
        <v>655.85599999999999</v>
      </c>
      <c r="P25" s="18">
        <v>713.74720000000002</v>
      </c>
      <c r="Q25" s="18">
        <v>771.63840000000005</v>
      </c>
      <c r="R25" s="18">
        <v>497.93760000000015</v>
      </c>
      <c r="S25" s="18">
        <v>547.40160000000014</v>
      </c>
      <c r="T25" s="18">
        <v>590.27040000000011</v>
      </c>
      <c r="U25" s="18">
        <v>640.10080000000005</v>
      </c>
      <c r="V25" s="18">
        <v>700.92319999999995</v>
      </c>
      <c r="W25" s="18">
        <v>761.37920000000008</v>
      </c>
      <c r="X25" s="18">
        <v>511.86079999999998</v>
      </c>
    </row>
    <row r="26" spans="1:24" ht="18">
      <c r="A26" s="5">
        <v>3</v>
      </c>
      <c r="B26" s="63" t="s">
        <v>66</v>
      </c>
      <c r="C26" s="24" t="s">
        <v>0</v>
      </c>
      <c r="D26" s="18"/>
      <c r="E26" s="18">
        <v>832.90048000000002</v>
      </c>
      <c r="F26" s="18">
        <v>713.60064000000011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356.80032000000006</v>
      </c>
      <c r="M26" s="18">
        <v>0</v>
      </c>
      <c r="N26" s="18">
        <v>0</v>
      </c>
      <c r="O26" s="18">
        <v>396.44480000000004</v>
      </c>
      <c r="P26" s="18">
        <v>0</v>
      </c>
      <c r="Q26" s="18">
        <v>0</v>
      </c>
      <c r="R26" s="18">
        <v>475.73376000000002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436.08928000000003</v>
      </c>
    </row>
    <row r="27" spans="1:24" ht="18">
      <c r="A27" s="5">
        <v>3</v>
      </c>
      <c r="B27" s="63" t="s">
        <v>67</v>
      </c>
      <c r="C27" s="24" t="s">
        <v>19</v>
      </c>
      <c r="D27" s="18"/>
      <c r="E27" s="18">
        <f>AVERAGE(E26:X26)</f>
        <v>160.57846400000003</v>
      </c>
      <c r="F27" s="18">
        <f>E27</f>
        <v>160.57846400000003</v>
      </c>
      <c r="G27" s="18">
        <f t="shared" ref="G27:W27" si="2">F27</f>
        <v>160.57846400000003</v>
      </c>
      <c r="H27" s="18">
        <f t="shared" si="2"/>
        <v>160.57846400000003</v>
      </c>
      <c r="I27" s="18">
        <f t="shared" si="2"/>
        <v>160.57846400000003</v>
      </c>
      <c r="J27" s="18">
        <f t="shared" si="2"/>
        <v>160.57846400000003</v>
      </c>
      <c r="K27" s="18">
        <f t="shared" si="2"/>
        <v>160.57846400000003</v>
      </c>
      <c r="L27" s="18">
        <f t="shared" si="2"/>
        <v>160.57846400000003</v>
      </c>
      <c r="M27" s="18">
        <f t="shared" si="2"/>
        <v>160.57846400000003</v>
      </c>
      <c r="N27" s="18">
        <f t="shared" si="2"/>
        <v>160.57846400000003</v>
      </c>
      <c r="O27" s="18">
        <f t="shared" si="2"/>
        <v>160.57846400000003</v>
      </c>
      <c r="P27" s="18">
        <f t="shared" si="2"/>
        <v>160.57846400000003</v>
      </c>
      <c r="Q27" s="18">
        <f t="shared" si="2"/>
        <v>160.57846400000003</v>
      </c>
      <c r="R27" s="18">
        <f t="shared" si="2"/>
        <v>160.57846400000003</v>
      </c>
      <c r="S27" s="18">
        <f t="shared" si="2"/>
        <v>160.57846400000003</v>
      </c>
      <c r="T27" s="18">
        <f t="shared" si="2"/>
        <v>160.57846400000003</v>
      </c>
      <c r="U27" s="18">
        <f t="shared" si="2"/>
        <v>160.57846400000003</v>
      </c>
      <c r="V27" s="18">
        <f t="shared" si="2"/>
        <v>160.57846400000003</v>
      </c>
      <c r="W27" s="18">
        <f t="shared" si="2"/>
        <v>160.57846400000003</v>
      </c>
      <c r="X27" s="18">
        <f>W27</f>
        <v>160.57846400000003</v>
      </c>
    </row>
    <row r="28" spans="1:24" ht="18">
      <c r="A28" s="5">
        <v>4</v>
      </c>
      <c r="B28" s="63" t="s">
        <v>68</v>
      </c>
      <c r="C28" s="24" t="s">
        <v>56</v>
      </c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</row>
    <row r="29" spans="1:24" ht="18">
      <c r="A29" s="5">
        <v>4</v>
      </c>
      <c r="B29" s="63" t="s">
        <v>69</v>
      </c>
      <c r="C29" s="24" t="s">
        <v>16</v>
      </c>
      <c r="D29" s="18"/>
      <c r="E29" s="18">
        <f>AVERAGE(E28:X28)</f>
        <v>0</v>
      </c>
      <c r="F29" s="18">
        <f>E29</f>
        <v>0</v>
      </c>
      <c r="G29" s="18">
        <f>F29</f>
        <v>0</v>
      </c>
      <c r="H29" s="18">
        <f t="shared" ref="H29:X29" si="3">G29</f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</row>
    <row r="30" spans="1:24" ht="18">
      <c r="A30" s="10">
        <v>5</v>
      </c>
      <c r="B30" s="63" t="s">
        <v>70</v>
      </c>
      <c r="C30" s="24" t="s">
        <v>1</v>
      </c>
      <c r="D30" s="18"/>
      <c r="E30" s="18">
        <f>(SUM(E24:X25)/20)+E27-E29</f>
        <v>12023.932624000003</v>
      </c>
      <c r="F30" s="18">
        <f>E30</f>
        <v>12023.932624000003</v>
      </c>
      <c r="G30" s="18">
        <f>F30</f>
        <v>12023.932624000003</v>
      </c>
      <c r="H30" s="18">
        <f t="shared" ref="H30:W30" si="4">G30</f>
        <v>12023.932624000003</v>
      </c>
      <c r="I30" s="18">
        <f t="shared" si="4"/>
        <v>12023.932624000003</v>
      </c>
      <c r="J30" s="18">
        <f t="shared" si="4"/>
        <v>12023.932624000003</v>
      </c>
      <c r="K30" s="18">
        <f t="shared" si="4"/>
        <v>12023.932624000003</v>
      </c>
      <c r="L30" s="18">
        <f t="shared" si="4"/>
        <v>12023.932624000003</v>
      </c>
      <c r="M30" s="18">
        <f t="shared" si="4"/>
        <v>12023.932624000003</v>
      </c>
      <c r="N30" s="18">
        <f t="shared" si="4"/>
        <v>12023.932624000003</v>
      </c>
      <c r="O30" s="18">
        <f t="shared" si="4"/>
        <v>12023.932624000003</v>
      </c>
      <c r="P30" s="18">
        <f t="shared" si="4"/>
        <v>12023.932624000003</v>
      </c>
      <c r="Q30" s="18">
        <f t="shared" si="4"/>
        <v>12023.932624000003</v>
      </c>
      <c r="R30" s="18">
        <f t="shared" si="4"/>
        <v>12023.932624000003</v>
      </c>
      <c r="S30" s="18">
        <f t="shared" si="4"/>
        <v>12023.932624000003</v>
      </c>
      <c r="T30" s="18">
        <f t="shared" si="4"/>
        <v>12023.932624000003</v>
      </c>
      <c r="U30" s="18">
        <f t="shared" si="4"/>
        <v>12023.932624000003</v>
      </c>
      <c r="V30" s="18">
        <f t="shared" si="4"/>
        <v>12023.932624000003</v>
      </c>
      <c r="W30" s="18">
        <f t="shared" si="4"/>
        <v>12023.932624000003</v>
      </c>
      <c r="X30" s="18">
        <f>W30</f>
        <v>12023.932624000003</v>
      </c>
    </row>
    <row r="31" spans="1:24">
      <c r="A31" s="5" t="s">
        <v>8</v>
      </c>
      <c r="B31" s="63" t="s">
        <v>11</v>
      </c>
      <c r="C31" s="24" t="s">
        <v>95</v>
      </c>
      <c r="D31" s="25"/>
      <c r="E31" s="25">
        <f>IF(SUM($D31:D31)=0,(IF($D$24+$D$25&gt;$E$30, IF((E24+E25)&lt;=E30,1,0),IF((E24+E25)&gt;=E30,1,0))),0)</f>
        <v>0</v>
      </c>
      <c r="F31" s="25">
        <f>IF(SUM($D31:E31)=0,(IF($D$24+$D$25&gt;$E$30, IF((F24+F25)&lt;=F30,1,0),IF((F24+F25)&gt;=F30,1,0))),0)</f>
        <v>1</v>
      </c>
      <c r="G31" s="25">
        <f>IF(SUM($D31:F31)=0,(IF($D$24+$D$25&gt;$E$30, IF((G24+G25)&lt;=G30,1,0),IF((G24+G25)&gt;=G30,1,0))),0)</f>
        <v>0</v>
      </c>
      <c r="H31" s="25">
        <f>IF(SUM($D31:G31)=0,(IF($D$24+$D$25&gt;$E$30, IF((H24+H25)&lt;=H30,1,0),IF((H24+H25)&gt;=H30,1,0))),0)</f>
        <v>0</v>
      </c>
      <c r="I31" s="25">
        <f>IF(SUM($D31:H31)=0,(IF($D$24+$D$25&gt;$E$30, IF((I24+I25)&lt;=I30,1,0),IF((I24+I25)&gt;=I30,1,0))),0)</f>
        <v>0</v>
      </c>
      <c r="J31" s="25">
        <f>IF(SUM($D31:I31)=0,(IF($D$24+$D$25&gt;$E$30, IF((J24+J25)&lt;=J30,1,0),IF((J24+J25)&gt;=J30,1,0))),0)</f>
        <v>0</v>
      </c>
      <c r="K31" s="25">
        <f>IF(SUM($D31:J31)=0,(IF($D$24+$D$25&gt;$E$30, IF((K24+K25)&lt;=K30,1,0),IF((K24+K25)&gt;=K30,1,0))),0)</f>
        <v>0</v>
      </c>
      <c r="L31" s="25">
        <f>IF(SUM($D31:K31)=0,(IF($D$24+$D$25&gt;$E$30, IF((L24+L25)&lt;=L30,1,0),IF((L24+L25)&gt;=L30,1,0))),0)</f>
        <v>0</v>
      </c>
      <c r="M31" s="25">
        <f>IF(SUM($D31:L31)=0,(IF($D$24+$D$25&gt;$E$30, IF((M24+M25)&lt;=M30,1,0),IF((M24+M25)&gt;=M30,1,0))),0)</f>
        <v>0</v>
      </c>
      <c r="N31" s="25">
        <f>IF(SUM($D31:M31)=0,(IF($D$24+$D$25&gt;$E$30, IF((N24+N25)&lt;=N30,1,0),IF((N24+N25)&gt;=N30,1,0))),0)</f>
        <v>0</v>
      </c>
      <c r="O31" s="25">
        <f>IF(SUM($D31:N31)=0,(IF($D$24+$D$25&gt;$E$30, IF((O24+O25)&lt;=O30,1,0),IF((O24+O25)&gt;=O30,1,0))),0)</f>
        <v>0</v>
      </c>
      <c r="P31" s="25">
        <f>IF(SUM($D31:O31)=0,(IF($D$24+$D$25&gt;$E$30, IF((P24+P25)&lt;=P30,1,0),IF((P24+P25)&gt;=P30,1,0))),0)</f>
        <v>0</v>
      </c>
      <c r="Q31" s="25">
        <f>IF(SUM($D31:P31)=0,(IF($D$24+$D$25&gt;$E$30, IF((Q24+Q25)&lt;=Q30,1,0),IF((Q24+Q25)&gt;=Q30,1,0))),0)</f>
        <v>0</v>
      </c>
      <c r="R31" s="25">
        <f>IF(SUM($D31:Q31)=0,(IF($D$24+$D$25&gt;$E$30, IF((R24+R25)&lt;=R30,1,0),IF((R24+R25)&gt;=R30,1,0))),0)</f>
        <v>0</v>
      </c>
      <c r="S31" s="25">
        <f>IF(SUM($D31:R31)=0,(IF($D$24+$D$25&gt;$E$30, IF((S24+S25)&lt;=S30,1,0),IF((S24+S25)&gt;=S30,1,0))),0)</f>
        <v>0</v>
      </c>
      <c r="T31" s="25">
        <f>IF(SUM($D31:S31)=0,(IF($D$24+$D$25&gt;$E$30, IF((T24+T25)&lt;=T30,1,0),IF((T24+T25)&gt;=T30,1,0))),0)</f>
        <v>0</v>
      </c>
      <c r="U31" s="25">
        <f>IF(SUM($D31:T31)=0,(IF($D$24+$D$25&gt;$E$30, IF((U24+U25)&lt;=U30,1,0),IF((U24+U25)&gt;=U30,1,0))),0)</f>
        <v>0</v>
      </c>
      <c r="V31" s="25">
        <f>IF(SUM($D31:U31)=0,(IF($D$24+$D$25&gt;$E$30, IF((V24+V25)&lt;=V30,1,0),IF((V24+V25)&gt;=V30,1,0))),0)</f>
        <v>0</v>
      </c>
      <c r="W31" s="25">
        <f>IF(SUM($D31:V31)=0,(IF($D$24+$D$25&gt;$E$30, IF((W24+W25)&lt;=W30,1,0),IF((W24+W25)&gt;=W30,1,0))),0)</f>
        <v>0</v>
      </c>
      <c r="X31" s="25">
        <f>IF(SUM($D31:W31)=0,(IF($D$24+$D$25&gt;$E$30, IF((X24+X25)&lt;=X30,1,0),IF((X24+X25)&gt;=X30,1,0))),0)</f>
        <v>0</v>
      </c>
    </row>
    <row r="32" spans="1:24" ht="18">
      <c r="A32" s="5" t="s">
        <v>63</v>
      </c>
      <c r="B32" s="64" t="s">
        <v>71</v>
      </c>
      <c r="C32" s="26" t="s">
        <v>61</v>
      </c>
      <c r="D32" s="12"/>
      <c r="E32" s="12">
        <f>IF(E31=1,E30-(D24+D25+SUM($D27:D27)-SUM($D29:D29)),IF(SUM($D31:D31)=1,0,((E24-D24)+(E25-D25)+E27-E29)))</f>
        <v>-5242.355935999999</v>
      </c>
      <c r="F32" s="12">
        <f>IF(F31=1,F30-(E24+E25+SUM($D27:E27)-SUM($D29:E29)),IF(SUM($D31:E31)=1,0,((F24-E24)+(F25-E25)+F27-F29)))</f>
        <v>-3673.4714399999975</v>
      </c>
      <c r="G32" s="12">
        <f>IF(G31=1,G30-(F24+F25+SUM($D27:F27)-SUM($D29:F29)),IF(SUM($D31:F31)=1,0,((G24-F24)+(G25-F25)+G27-G29)))</f>
        <v>0</v>
      </c>
      <c r="H32" s="12">
        <f>IF(H31=1,H30-(G24+G25+SUM($D27:G27)-SUM($D29:G29)),IF(SUM($D31:G31)=1,0,((H24-G24)+(H25-G25)+H27-H29)))</f>
        <v>0</v>
      </c>
      <c r="I32" s="12">
        <f>IF(I31=1,I30-(H24+H25+SUM($D27:H27)-SUM($D29:H29)),IF(SUM($D31:H31)=1,0,((I24-H24)+(I25-H25)+I27-I29)))</f>
        <v>0</v>
      </c>
      <c r="J32" s="12">
        <f>IF(J31=1,J30-(I24+I25+SUM($D27:I27)-SUM($D29:I29)),IF(SUM($D31:I31)=1,0,((J24-I24)+(J25-I25)+J27-J29)))</f>
        <v>0</v>
      </c>
      <c r="K32" s="12">
        <f>IF(K31=1,K30-(J24+J25+SUM($D27:J27)-SUM($D29:J29)),IF(SUM($D31:J31)=1,0,((K24-J24)+(K25-J25)+K27-K29)))</f>
        <v>0</v>
      </c>
      <c r="L32" s="12">
        <f>IF(L31=1,L30-(K24+K25+SUM($D27:K27)-SUM($D29:K29)),IF(SUM($D31:K31)=1,0,((L24-K24)+(L25-K25)+L27-L29)))</f>
        <v>0</v>
      </c>
      <c r="M32" s="12">
        <f>IF(M31=1,M30-(L24+L25+SUM($D27:L27)-SUM($D29:L29)),IF(SUM($D31:L31)=1,0,((M24-L24)+(M25-L25)+M27-M29)))</f>
        <v>0</v>
      </c>
      <c r="N32" s="12">
        <f>IF(N31=1,N30-(M24+M25+SUM($D27:M27)-SUM($D29:M29)),IF(SUM($D31:M31)=1,0,((N24-M24)+(N25-M25)+N27-N29)))</f>
        <v>0</v>
      </c>
      <c r="O32" s="12">
        <f>IF(O31=1,O30-(N24+N25+SUM($D27:N27)-SUM($D29:N29)),IF(SUM($D31:N31)=1,0,((O24-N24)+(O25-N25)+O27-O29)))</f>
        <v>0</v>
      </c>
      <c r="P32" s="12">
        <f>IF(P31=1,P30-(O24+O25+SUM($D27:O27)-SUM($D29:O29)),IF(SUM($D31:O31)=1,0,((P24-O24)+(P25-O25)+P27-P29)))</f>
        <v>0</v>
      </c>
      <c r="Q32" s="12">
        <f>IF(Q31=1,Q30-(P24+P25+SUM($D27:P27)-SUM($D29:P29)),IF(SUM($D31:P31)=1,0,((Q24-P24)+(Q25-P25)+Q27-Q29)))</f>
        <v>0</v>
      </c>
      <c r="R32" s="12">
        <f>IF(R31=1,R30-(Q24+Q25+SUM($D27:Q27)-SUM($D29:Q29)),IF(SUM($D31:Q31)=1,0,((R24-Q24)+(R25-Q25)+R27-R29)))</f>
        <v>0</v>
      </c>
      <c r="S32" s="12">
        <f>IF(S31=1,S30-(R24+R25+SUM($D27:R27)-SUM($D29:R29)),IF(SUM($D31:R31)=1,0,((S24-R24)+(S25-R25)+S27-S29)))</f>
        <v>0</v>
      </c>
      <c r="T32" s="12">
        <f>IF(T31=1,T30-(S24+S25+SUM($D27:S27)-SUM($D29:S29)),IF(SUM($D31:S31)=1,0,((T24-S24)+(T25-S25)+T27-T29)))</f>
        <v>0</v>
      </c>
      <c r="U32" s="12">
        <f>IF(U31=1,U30-(T24+T25+SUM($D27:T27)-SUM($D29:T29)),IF(SUM($D31:T31)=1,0,((U24-T24)+(U25-T25)+U27-U29)))</f>
        <v>0</v>
      </c>
      <c r="V32" s="12">
        <f>IF(V31=1,V30-(U24+U25+SUM($D27:U27)-SUM($D29:U29)),IF(SUM($D31:U31)=1,0,((V24-U24)+(V25-U25)+V27-V29)))</f>
        <v>0</v>
      </c>
      <c r="W32" s="12">
        <f>IF(W31=1,W30-(V24+V25+SUM($D27:V27)-SUM($D29:V29)),IF(SUM($D31:V31)=1,0,((W24-V24)+(W25-V25)+W27-W29)))</f>
        <v>0</v>
      </c>
      <c r="X32" s="12">
        <f>IF(X31=1,X30-(W24+W25+SUM($D27:W27)-SUM($D29:W29)),IF(SUM($D31:W31)=1,0,((X24-W24)+(X25-W25)+X27-X29)))</f>
        <v>0</v>
      </c>
    </row>
    <row r="33" spans="1:26">
      <c r="A33" s="5"/>
      <c r="B33" s="63"/>
      <c r="C33" s="35" t="s">
        <v>6</v>
      </c>
      <c r="D33" s="36"/>
      <c r="E33" s="36"/>
      <c r="F33" s="36"/>
      <c r="G33" s="36"/>
      <c r="H33" s="36"/>
      <c r="I33" s="38"/>
      <c r="J33" s="36"/>
      <c r="K33" s="36"/>
      <c r="L33" s="36"/>
      <c r="M33" s="36"/>
      <c r="N33" s="36"/>
      <c r="O33" s="36"/>
      <c r="P33" s="36"/>
      <c r="Q33" s="36"/>
      <c r="R33" s="36"/>
      <c r="S33" s="38"/>
      <c r="T33" s="36"/>
      <c r="U33" s="36"/>
      <c r="V33" s="36"/>
      <c r="W33" s="36"/>
      <c r="X33" s="36"/>
    </row>
    <row r="34" spans="1:26" ht="18">
      <c r="A34" s="5">
        <v>14</v>
      </c>
      <c r="B34" s="64" t="s">
        <v>72</v>
      </c>
      <c r="C34" s="37" t="s">
        <v>22</v>
      </c>
      <c r="D34" s="39">
        <v>19425.062399999999</v>
      </c>
      <c r="E34" s="39">
        <v>20138.809600000001</v>
      </c>
      <c r="F34" s="39">
        <v>20826.542400000002</v>
      </c>
      <c r="G34" s="39">
        <v>21490.092799999999</v>
      </c>
      <c r="H34" s="39">
        <v>22296.905600000002</v>
      </c>
      <c r="I34" s="39">
        <v>22992.699199999999</v>
      </c>
      <c r="J34" s="39">
        <v>23599.457600000002</v>
      </c>
      <c r="K34" s="39">
        <v>24309.1744</v>
      </c>
      <c r="L34" s="39">
        <v>24918.131200000003</v>
      </c>
      <c r="M34" s="39">
        <v>25454.907200000001</v>
      </c>
      <c r="N34" s="39">
        <v>25996.446400000001</v>
      </c>
      <c r="O34" s="39">
        <v>26517.833600000002</v>
      </c>
      <c r="P34" s="39">
        <v>27001.848000000002</v>
      </c>
      <c r="Q34" s="39">
        <v>27478.900799999999</v>
      </c>
      <c r="R34" s="39">
        <v>27954.8544</v>
      </c>
      <c r="S34" s="39">
        <v>28371.817600000002</v>
      </c>
      <c r="T34" s="39">
        <v>28793.544000000002</v>
      </c>
      <c r="U34" s="39">
        <v>29192.920000000006</v>
      </c>
      <c r="V34" s="39">
        <v>29585.334400000003</v>
      </c>
      <c r="W34" s="39">
        <v>29944.772799999999</v>
      </c>
      <c r="X34" s="39">
        <v>30321.432000000001</v>
      </c>
      <c r="Z34" s="1"/>
    </row>
    <row r="35" spans="1:26" ht="18">
      <c r="A35" s="5">
        <v>15</v>
      </c>
      <c r="B35" s="64" t="s">
        <v>73</v>
      </c>
      <c r="C35" s="37" t="s">
        <v>23</v>
      </c>
      <c r="D35" s="39">
        <v>1514.6976000000002</v>
      </c>
      <c r="E35" s="39">
        <v>1610.328</v>
      </c>
      <c r="F35" s="39">
        <v>1707.424</v>
      </c>
      <c r="G35" s="39">
        <v>1793.8944000000001</v>
      </c>
      <c r="H35" s="39">
        <v>1864.6096</v>
      </c>
      <c r="I35" s="39">
        <v>1959.8735999999999</v>
      </c>
      <c r="J35" s="39">
        <v>2055.5039999999999</v>
      </c>
      <c r="K35" s="39">
        <v>2149.3024</v>
      </c>
      <c r="L35" s="39">
        <v>2250.7952000000005</v>
      </c>
      <c r="M35" s="39">
        <v>2339.0976000000001</v>
      </c>
      <c r="N35" s="39">
        <v>2413.1103999999996</v>
      </c>
      <c r="O35" s="39">
        <v>2505.4431999999997</v>
      </c>
      <c r="P35" s="39">
        <v>2601.6103900676126</v>
      </c>
      <c r="Q35" s="39">
        <v>2674.5028609493315</v>
      </c>
      <c r="R35" s="39">
        <v>2758.3873318310493</v>
      </c>
      <c r="S35" s="39">
        <v>2846.302202712769</v>
      </c>
      <c r="T35" s="39">
        <v>2904.1722735944877</v>
      </c>
      <c r="U35" s="39">
        <v>2982.6408155370573</v>
      </c>
      <c r="V35" s="39">
        <v>3060.7904302123229</v>
      </c>
      <c r="W35" s="39">
        <v>3127.5816448875889</v>
      </c>
      <c r="X35" s="39">
        <v>3191.4416595628545</v>
      </c>
      <c r="Z35" s="1"/>
    </row>
    <row r="36" spans="1:26" ht="18">
      <c r="A36" s="5">
        <v>17</v>
      </c>
      <c r="B36" s="64" t="s">
        <v>74</v>
      </c>
      <c r="C36" s="37" t="s">
        <v>2</v>
      </c>
      <c r="D36" s="39"/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Z36" s="1"/>
    </row>
    <row r="37" spans="1:26">
      <c r="A37" s="5">
        <v>16</v>
      </c>
      <c r="B37" s="65" t="s">
        <v>75</v>
      </c>
      <c r="C37" s="37" t="s">
        <v>57</v>
      </c>
      <c r="D37" s="39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</row>
    <row r="38" spans="1:26" ht="18">
      <c r="A38" s="5">
        <v>17</v>
      </c>
      <c r="B38" s="66" t="s">
        <v>76</v>
      </c>
      <c r="C38" s="40" t="s">
        <v>62</v>
      </c>
      <c r="D38" s="41"/>
      <c r="E38" s="41">
        <f t="shared" ref="E38:X38" si="5">(E34-D34)+(E35-D35)+E36-E37</f>
        <v>809.37760000000139</v>
      </c>
      <c r="F38" s="41">
        <f t="shared" si="5"/>
        <v>784.82880000000159</v>
      </c>
      <c r="G38" s="41">
        <f t="shared" si="5"/>
        <v>750.0207999999966</v>
      </c>
      <c r="H38" s="41">
        <f t="shared" si="5"/>
        <v>877.5280000000032</v>
      </c>
      <c r="I38" s="41">
        <f t="shared" si="5"/>
        <v>791.05759999999714</v>
      </c>
      <c r="J38" s="41">
        <f t="shared" si="5"/>
        <v>702.38880000000245</v>
      </c>
      <c r="K38" s="41">
        <f t="shared" si="5"/>
        <v>803.51519999999846</v>
      </c>
      <c r="L38" s="41">
        <f t="shared" si="5"/>
        <v>710.44960000000401</v>
      </c>
      <c r="M38" s="41">
        <f t="shared" si="5"/>
        <v>625.0783999999976</v>
      </c>
      <c r="N38" s="41">
        <f t="shared" si="5"/>
        <v>615.55199999999877</v>
      </c>
      <c r="O38" s="41">
        <f t="shared" si="5"/>
        <v>613.72000000000116</v>
      </c>
      <c r="P38" s="41">
        <f t="shared" si="5"/>
        <v>580.18159006761289</v>
      </c>
      <c r="Q38" s="41">
        <f t="shared" si="5"/>
        <v>549.94527088171662</v>
      </c>
      <c r="R38" s="41">
        <f t="shared" si="5"/>
        <v>559.83807088171852</v>
      </c>
      <c r="S38" s="41">
        <f t="shared" si="5"/>
        <v>504.87807088172167</v>
      </c>
      <c r="T38" s="41">
        <f t="shared" si="5"/>
        <v>479.59647088171823</v>
      </c>
      <c r="U38" s="41">
        <f t="shared" si="5"/>
        <v>477.84454194257341</v>
      </c>
      <c r="V38" s="41">
        <f t="shared" si="5"/>
        <v>470.56401467526348</v>
      </c>
      <c r="W38" s="41">
        <f t="shared" si="5"/>
        <v>426.22961467526147</v>
      </c>
      <c r="X38" s="41">
        <f t="shared" si="5"/>
        <v>440.51921467526745</v>
      </c>
      <c r="Z38" s="1"/>
    </row>
    <row r="39" spans="1:26">
      <c r="A39" s="5"/>
      <c r="B39" s="66"/>
      <c r="C39" s="30" t="s">
        <v>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26" ht="18">
      <c r="A40" s="5">
        <v>13</v>
      </c>
      <c r="B40" s="66" t="s">
        <v>77</v>
      </c>
      <c r="C40" s="32" t="s">
        <v>58</v>
      </c>
      <c r="D40" s="33">
        <f>SQRT(($D$24*$E$13)^2+($D$25*$E$14)^2+($E$27*$E$13)^2+($E$29*$E$13)^2)/SUM($D$24:$D$25, $E$27, $E$29)</f>
        <v>6.7506304653440527E-2</v>
      </c>
      <c r="E40" s="33">
        <f t="shared" ref="E40:X40" si="6">SQRT(($D$24*$E$13)^2+($D$25*$E$14)^2+($E$27*$E$13)^2+($E$29*$E$13)^2)/SUM($D$24:$D$25, $E$27, $E$29)</f>
        <v>6.7506304653440527E-2</v>
      </c>
      <c r="F40" s="33">
        <f t="shared" si="6"/>
        <v>6.7506304653440527E-2</v>
      </c>
      <c r="G40" s="33">
        <f t="shared" si="6"/>
        <v>6.7506304653440527E-2</v>
      </c>
      <c r="H40" s="33">
        <f t="shared" si="6"/>
        <v>6.7506304653440527E-2</v>
      </c>
      <c r="I40" s="33">
        <f t="shared" si="6"/>
        <v>6.7506304653440527E-2</v>
      </c>
      <c r="J40" s="33">
        <f t="shared" si="6"/>
        <v>6.7506304653440527E-2</v>
      </c>
      <c r="K40" s="33">
        <f t="shared" si="6"/>
        <v>6.7506304653440527E-2</v>
      </c>
      <c r="L40" s="33">
        <f t="shared" si="6"/>
        <v>6.7506304653440527E-2</v>
      </c>
      <c r="M40" s="33">
        <f t="shared" si="6"/>
        <v>6.7506304653440527E-2</v>
      </c>
      <c r="N40" s="33">
        <f t="shared" si="6"/>
        <v>6.7506304653440527E-2</v>
      </c>
      <c r="O40" s="33">
        <f t="shared" si="6"/>
        <v>6.7506304653440527E-2</v>
      </c>
      <c r="P40" s="33">
        <f t="shared" si="6"/>
        <v>6.7506304653440527E-2</v>
      </c>
      <c r="Q40" s="33">
        <f t="shared" si="6"/>
        <v>6.7506304653440527E-2</v>
      </c>
      <c r="R40" s="33">
        <f t="shared" si="6"/>
        <v>6.7506304653440527E-2</v>
      </c>
      <c r="S40" s="33">
        <f t="shared" si="6"/>
        <v>6.7506304653440527E-2</v>
      </c>
      <c r="T40" s="33">
        <f t="shared" si="6"/>
        <v>6.7506304653440527E-2</v>
      </c>
      <c r="U40" s="33">
        <f t="shared" si="6"/>
        <v>6.7506304653440527E-2</v>
      </c>
      <c r="V40" s="33">
        <f t="shared" si="6"/>
        <v>6.7506304653440527E-2</v>
      </c>
      <c r="W40" s="33">
        <f t="shared" si="6"/>
        <v>6.7506304653440527E-2</v>
      </c>
      <c r="X40" s="33">
        <f t="shared" si="6"/>
        <v>6.7506304653440527E-2</v>
      </c>
    </row>
    <row r="41" spans="1:26" ht="18">
      <c r="A41" s="5">
        <v>21</v>
      </c>
      <c r="B41" s="66" t="s">
        <v>78</v>
      </c>
      <c r="C41" s="32" t="s">
        <v>59</v>
      </c>
      <c r="D41" s="33">
        <f>SQRT((D$34*$E$13)^2+(D$35*$E$14)^2+(D$36*$E$13)^2+(D$37*$E$13)^2)/SUM(D$34:D$37)</f>
        <v>6.802186484432271E-2</v>
      </c>
      <c r="E41" s="33">
        <f t="shared" ref="E41:X41" si="7">SQRT((E$34*$E$13)^2+(E$35*$E$14)^2+(E$36*$E$13)^2+(E$37*$E$13)^2)/SUM(E$34:E$37)</f>
        <v>6.8051852409973745E-2</v>
      </c>
      <c r="F41" s="33">
        <f t="shared" si="7"/>
        <v>6.8085903216210455E-2</v>
      </c>
      <c r="G41" s="33">
        <f t="shared" si="7"/>
        <v>6.8113284158527312E-2</v>
      </c>
      <c r="H41" s="33">
        <f t="shared" si="7"/>
        <v>6.8116159495647199E-2</v>
      </c>
      <c r="I41" s="33">
        <f t="shared" si="7"/>
        <v>6.814807153836544E-2</v>
      </c>
      <c r="J41" s="33">
        <f t="shared" si="7"/>
        <v>6.8187597830093108E-2</v>
      </c>
      <c r="K41" s="33">
        <f t="shared" si="7"/>
        <v>6.82172763946398E-2</v>
      </c>
      <c r="L41" s="33">
        <f t="shared" si="7"/>
        <v>6.8262942035475754E-2</v>
      </c>
      <c r="M41" s="33">
        <f t="shared" si="7"/>
        <v>6.8302496838808041E-2</v>
      </c>
      <c r="N41" s="33">
        <f t="shared" si="7"/>
        <v>6.8327019143472389E-2</v>
      </c>
      <c r="O41" s="33">
        <f t="shared" si="7"/>
        <v>6.8372278465410302E-2</v>
      </c>
      <c r="P41" s="33">
        <f t="shared" si="7"/>
        <v>6.8425891769324704E-2</v>
      </c>
      <c r="Q41" s="33">
        <f t="shared" si="7"/>
        <v>6.8455105021419618E-2</v>
      </c>
      <c r="R41" s="33">
        <f t="shared" si="7"/>
        <v>6.8496360291669889E-2</v>
      </c>
      <c r="S41" s="33">
        <f t="shared" si="7"/>
        <v>6.8548860325905389E-2</v>
      </c>
      <c r="T41" s="33">
        <f t="shared" si="7"/>
        <v>6.8566519777347623E-2</v>
      </c>
      <c r="U41" s="33">
        <f t="shared" si="7"/>
        <v>6.8610167983864934E-2</v>
      </c>
      <c r="V41" s="33">
        <f t="shared" si="7"/>
        <v>6.8654333072584353E-2</v>
      </c>
      <c r="W41" s="33">
        <f t="shared" si="7"/>
        <v>6.8689107745300945E-2</v>
      </c>
      <c r="X41" s="33">
        <f t="shared" si="7"/>
        <v>6.8718083888371126E-2</v>
      </c>
    </row>
    <row r="42" spans="1:26" ht="18">
      <c r="A42" s="5">
        <v>22</v>
      </c>
      <c r="B42" s="66" t="s">
        <v>79</v>
      </c>
      <c r="C42" s="32" t="s">
        <v>60</v>
      </c>
      <c r="D42" s="34"/>
      <c r="E42" s="33">
        <f>SQRT((ABS(E$32)*E$40)^2+(ABS(E$38)*E$41)^2)/(ABS(E$32)+ABS(E$38))</f>
        <v>5.9181838699392961E-2</v>
      </c>
      <c r="F42" s="33">
        <f t="shared" ref="F42:X42" si="8">SQRT((ABS(F$32)*F$40)^2+(ABS(F$38)*F$41)^2)/(ABS(F$32)+ABS(F$38))</f>
        <v>5.6899349915818902E-2</v>
      </c>
      <c r="G42" s="33">
        <f t="shared" si="8"/>
        <v>6.8113284158527312E-2</v>
      </c>
      <c r="H42" s="33">
        <f t="shared" si="8"/>
        <v>6.8116159495647199E-2</v>
      </c>
      <c r="I42" s="33">
        <f t="shared" si="8"/>
        <v>6.814807153836544E-2</v>
      </c>
      <c r="J42" s="33">
        <f t="shared" si="8"/>
        <v>6.8187597830093108E-2</v>
      </c>
      <c r="K42" s="33">
        <f t="shared" si="8"/>
        <v>6.82172763946398E-2</v>
      </c>
      <c r="L42" s="33">
        <f t="shared" si="8"/>
        <v>6.8262942035475754E-2</v>
      </c>
      <c r="M42" s="33">
        <f t="shared" si="8"/>
        <v>6.8302496838808041E-2</v>
      </c>
      <c r="N42" s="33">
        <f t="shared" si="8"/>
        <v>6.8327019143472389E-2</v>
      </c>
      <c r="O42" s="33">
        <f t="shared" si="8"/>
        <v>6.8372278465410302E-2</v>
      </c>
      <c r="P42" s="33">
        <f t="shared" si="8"/>
        <v>6.8425891769324704E-2</v>
      </c>
      <c r="Q42" s="33">
        <f t="shared" si="8"/>
        <v>6.8455105021419618E-2</v>
      </c>
      <c r="R42" s="33">
        <f t="shared" si="8"/>
        <v>6.8496360291669889E-2</v>
      </c>
      <c r="S42" s="33">
        <f t="shared" si="8"/>
        <v>6.8548860325905389E-2</v>
      </c>
      <c r="T42" s="33">
        <f t="shared" si="8"/>
        <v>6.8566519777347623E-2</v>
      </c>
      <c r="U42" s="33">
        <f t="shared" si="8"/>
        <v>6.8610167983864934E-2</v>
      </c>
      <c r="V42" s="33">
        <f t="shared" si="8"/>
        <v>6.8654333072584353E-2</v>
      </c>
      <c r="W42" s="33">
        <f t="shared" si="8"/>
        <v>6.8689107745300945E-2</v>
      </c>
      <c r="X42" s="33">
        <f t="shared" si="8"/>
        <v>6.8718083888371126E-2</v>
      </c>
    </row>
    <row r="43" spans="1:26">
      <c r="A43" s="3"/>
      <c r="B43" s="63"/>
      <c r="C43" s="27" t="s">
        <v>34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26" ht="18">
      <c r="A44" s="5">
        <v>24</v>
      </c>
      <c r="B44" s="63" t="s">
        <v>80</v>
      </c>
      <c r="C44" s="29" t="s">
        <v>96</v>
      </c>
      <c r="D44" s="43"/>
      <c r="E44" s="46">
        <f>ROUNDDOWN((E$38-E$32)*(1-$E$15)*(1-IF(E$42&lt;10%,0,E$42)),0)</f>
        <v>3631</v>
      </c>
      <c r="F44" s="46">
        <f t="shared" ref="F44:X44" si="9">ROUNDDOWN((F$38-F$32)*(1-$E$15)*(1-IF(F$42&lt;10%,0,F$42)),0)</f>
        <v>2674</v>
      </c>
      <c r="G44" s="46">
        <f t="shared" si="9"/>
        <v>450</v>
      </c>
      <c r="H44" s="46">
        <f t="shared" si="9"/>
        <v>526</v>
      </c>
      <c r="I44" s="46">
        <f t="shared" si="9"/>
        <v>474</v>
      </c>
      <c r="J44" s="46">
        <f t="shared" si="9"/>
        <v>421</v>
      </c>
      <c r="K44" s="46">
        <f t="shared" si="9"/>
        <v>482</v>
      </c>
      <c r="L44" s="46">
        <f t="shared" si="9"/>
        <v>426</v>
      </c>
      <c r="M44" s="46">
        <f t="shared" si="9"/>
        <v>375</v>
      </c>
      <c r="N44" s="46">
        <f t="shared" si="9"/>
        <v>369</v>
      </c>
      <c r="O44" s="46">
        <f t="shared" si="9"/>
        <v>368</v>
      </c>
      <c r="P44" s="46">
        <f t="shared" si="9"/>
        <v>348</v>
      </c>
      <c r="Q44" s="46">
        <f t="shared" si="9"/>
        <v>329</v>
      </c>
      <c r="R44" s="46">
        <f t="shared" si="9"/>
        <v>335</v>
      </c>
      <c r="S44" s="46">
        <f t="shared" si="9"/>
        <v>302</v>
      </c>
      <c r="T44" s="46">
        <f t="shared" si="9"/>
        <v>287</v>
      </c>
      <c r="U44" s="46">
        <f t="shared" si="9"/>
        <v>286</v>
      </c>
      <c r="V44" s="46">
        <f t="shared" si="9"/>
        <v>282</v>
      </c>
      <c r="W44" s="46">
        <f t="shared" si="9"/>
        <v>255</v>
      </c>
      <c r="X44" s="46">
        <f t="shared" si="9"/>
        <v>264</v>
      </c>
    </row>
    <row r="45" spans="1:26" ht="18">
      <c r="A45" s="5">
        <v>24</v>
      </c>
      <c r="B45" s="63" t="s">
        <v>81</v>
      </c>
      <c r="C45" s="29" t="s">
        <v>97</v>
      </c>
      <c r="D45" s="43"/>
      <c r="E45" s="46">
        <f>IF(E44&lt;0,0,IF(E44+D58&lt;0,0,E44+D58))</f>
        <v>3631</v>
      </c>
      <c r="F45" s="46">
        <f>IF(F44&lt;0,0,IF(F44+E58&lt;0,0,F44+E58))</f>
        <v>2674</v>
      </c>
      <c r="G45" s="46">
        <f>IF(G44&lt;0,0,IF(G44+F58&lt;0,0,G44+F58))</f>
        <v>450</v>
      </c>
      <c r="H45" s="46">
        <f>IF(H44&lt;0,0,IF(H44+G58&lt;0,0,H44+G58))</f>
        <v>526</v>
      </c>
      <c r="I45" s="46">
        <f>IF(I44&lt;0,0,IF(I44+H58&lt;0,0,I44+H58))</f>
        <v>474</v>
      </c>
      <c r="J45" s="46">
        <f t="shared" ref="F45:X45" si="10">IF(J44&lt;0,0,IF(J44+I58&lt;0,0,J44+I58))</f>
        <v>421</v>
      </c>
      <c r="K45" s="46">
        <f t="shared" si="10"/>
        <v>482</v>
      </c>
      <c r="L45" s="46">
        <f t="shared" si="10"/>
        <v>426</v>
      </c>
      <c r="M45" s="46">
        <f t="shared" si="10"/>
        <v>375</v>
      </c>
      <c r="N45" s="46">
        <f t="shared" si="10"/>
        <v>369</v>
      </c>
      <c r="O45" s="46">
        <f t="shared" si="10"/>
        <v>368</v>
      </c>
      <c r="P45" s="46">
        <f t="shared" si="10"/>
        <v>348</v>
      </c>
      <c r="Q45" s="46">
        <f t="shared" si="10"/>
        <v>329</v>
      </c>
      <c r="R45" s="46">
        <f t="shared" si="10"/>
        <v>335</v>
      </c>
      <c r="S45" s="46">
        <f t="shared" si="10"/>
        <v>302</v>
      </c>
      <c r="T45" s="46">
        <f t="shared" si="10"/>
        <v>287</v>
      </c>
      <c r="U45" s="46">
        <f t="shared" si="10"/>
        <v>286</v>
      </c>
      <c r="V45" s="46">
        <f t="shared" si="10"/>
        <v>282</v>
      </c>
      <c r="W45" s="46">
        <f t="shared" si="10"/>
        <v>255</v>
      </c>
      <c r="X45" s="46">
        <f t="shared" si="10"/>
        <v>264</v>
      </c>
    </row>
    <row r="46" spans="1:26" ht="18">
      <c r="A46" s="5">
        <v>25</v>
      </c>
      <c r="B46" s="63" t="s">
        <v>83</v>
      </c>
      <c r="C46" s="42" t="s">
        <v>98</v>
      </c>
      <c r="D46" s="43"/>
      <c r="E46" s="46">
        <f>ROUNDUP(E45*$E$16,0)</f>
        <v>545</v>
      </c>
      <c r="F46" s="46">
        <f t="shared" ref="F46:X46" si="11">ROUNDUP(F45*$E$16,0)</f>
        <v>402</v>
      </c>
      <c r="G46" s="46">
        <f t="shared" si="11"/>
        <v>68</v>
      </c>
      <c r="H46" s="46">
        <f t="shared" si="11"/>
        <v>79</v>
      </c>
      <c r="I46" s="46">
        <f t="shared" si="11"/>
        <v>72</v>
      </c>
      <c r="J46" s="46">
        <f t="shared" si="11"/>
        <v>64</v>
      </c>
      <c r="K46" s="46">
        <f t="shared" si="11"/>
        <v>73</v>
      </c>
      <c r="L46" s="46">
        <f t="shared" si="11"/>
        <v>64</v>
      </c>
      <c r="M46" s="46">
        <f t="shared" si="11"/>
        <v>57</v>
      </c>
      <c r="N46" s="46">
        <f t="shared" si="11"/>
        <v>56</v>
      </c>
      <c r="O46" s="46">
        <f t="shared" si="11"/>
        <v>56</v>
      </c>
      <c r="P46" s="46">
        <f t="shared" si="11"/>
        <v>53</v>
      </c>
      <c r="Q46" s="46">
        <f t="shared" si="11"/>
        <v>50</v>
      </c>
      <c r="R46" s="46">
        <f t="shared" si="11"/>
        <v>51</v>
      </c>
      <c r="S46" s="46">
        <f t="shared" si="11"/>
        <v>46</v>
      </c>
      <c r="T46" s="46">
        <f t="shared" si="11"/>
        <v>44</v>
      </c>
      <c r="U46" s="46">
        <f t="shared" si="11"/>
        <v>43</v>
      </c>
      <c r="V46" s="46">
        <f t="shared" si="11"/>
        <v>43</v>
      </c>
      <c r="W46" s="46">
        <f t="shared" si="11"/>
        <v>39</v>
      </c>
      <c r="X46" s="46">
        <f t="shared" si="11"/>
        <v>40</v>
      </c>
    </row>
    <row r="47" spans="1:26" ht="18">
      <c r="A47" s="5">
        <v>26</v>
      </c>
      <c r="B47" s="63" t="s">
        <v>84</v>
      </c>
      <c r="C47" s="42" t="s">
        <v>99</v>
      </c>
      <c r="D47" s="42"/>
      <c r="E47" s="47">
        <f>E45-E46</f>
        <v>3086</v>
      </c>
      <c r="F47" s="47">
        <f t="shared" ref="F47:X47" si="12">F45-F46</f>
        <v>2272</v>
      </c>
      <c r="G47" s="47">
        <f t="shared" si="12"/>
        <v>382</v>
      </c>
      <c r="H47" s="47">
        <f t="shared" si="12"/>
        <v>447</v>
      </c>
      <c r="I47" s="47">
        <f t="shared" si="12"/>
        <v>402</v>
      </c>
      <c r="J47" s="47">
        <f t="shared" si="12"/>
        <v>357</v>
      </c>
      <c r="K47" s="47">
        <f t="shared" si="12"/>
        <v>409</v>
      </c>
      <c r="L47" s="47">
        <f t="shared" si="12"/>
        <v>362</v>
      </c>
      <c r="M47" s="47">
        <f t="shared" si="12"/>
        <v>318</v>
      </c>
      <c r="N47" s="47">
        <f t="shared" si="12"/>
        <v>313</v>
      </c>
      <c r="O47" s="47">
        <f t="shared" si="12"/>
        <v>312</v>
      </c>
      <c r="P47" s="47">
        <f t="shared" si="12"/>
        <v>295</v>
      </c>
      <c r="Q47" s="47">
        <f t="shared" si="12"/>
        <v>279</v>
      </c>
      <c r="R47" s="47">
        <f t="shared" si="12"/>
        <v>284</v>
      </c>
      <c r="S47" s="47">
        <f t="shared" si="12"/>
        <v>256</v>
      </c>
      <c r="T47" s="47">
        <f t="shared" si="12"/>
        <v>243</v>
      </c>
      <c r="U47" s="47">
        <f t="shared" si="12"/>
        <v>243</v>
      </c>
      <c r="V47" s="47">
        <f t="shared" si="12"/>
        <v>239</v>
      </c>
      <c r="W47" s="47">
        <f t="shared" si="12"/>
        <v>216</v>
      </c>
      <c r="X47" s="47">
        <f t="shared" si="12"/>
        <v>224</v>
      </c>
    </row>
    <row r="48" spans="1:26" ht="18">
      <c r="A48" s="5">
        <v>27</v>
      </c>
      <c r="B48" s="63" t="s">
        <v>82</v>
      </c>
      <c r="C48" s="42" t="s">
        <v>100</v>
      </c>
      <c r="D48" s="42"/>
      <c r="E48" s="46">
        <f>ROUND(E$45*((DATE(YEAR(E$22),1,1)-DATE(YEAR(D$22),MONTH($E$17),DAY($E$17)))/(365+IF(MOD(YEAR(D$22),4),0,1))),0)</f>
        <v>1071</v>
      </c>
      <c r="F48" s="46">
        <f>ROUND(F$45*((DATE(YEAR(F$22),1,1)-DATE(YEAR(E$22),MONTH($E$17),DAY($E$17)))/(365+IF(MOD(YEAR(E$22),4),0,1))),0)</f>
        <v>791</v>
      </c>
      <c r="G48" s="46">
        <f>ROUND(G$45*((DATE(YEAR(G$22),1,1)-DATE(YEAR(F$22),MONTH($E$17),DAY($E$17)))/(365+IF(MOD(YEAR(F$22),4),0,1))),0)</f>
        <v>133</v>
      </c>
      <c r="H48" s="46">
        <f>ROUND(H$45*((DATE(YEAR(H$22),1,1)-DATE(YEAR(G$22),MONTH($E$17),DAY($E$17)))/(365+IF(MOD(YEAR(G$22),4),0,1))),0)</f>
        <v>156</v>
      </c>
      <c r="I48" s="46">
        <f>ROUND(I$45*((DATE(YEAR(I$22),1,1)-DATE(YEAR(H$22),MONTH($E$17),DAY($E$17)))/(365+IF(MOD(YEAR(H$22),4),0,1))),0)</f>
        <v>140</v>
      </c>
      <c r="J48" s="46">
        <f>ROUND(J$45*((DATE(YEAR(J$22),1,1)-DATE(YEAR(I$22),MONTH($E$17),DAY($E$17)))/(365+IF(MOD(YEAR(I$22),4),0,1))),0)</f>
        <v>125</v>
      </c>
      <c r="K48" s="46">
        <f>ROUND(K$45*((DATE(YEAR(K$22),1,1)-DATE(YEAR(J$22),MONTH($E$17),DAY($E$17)))/(365+IF(MOD(YEAR(J$22),4),0,1))),0)</f>
        <v>143</v>
      </c>
      <c r="L48" s="46">
        <f>ROUND(L$45*((DATE(YEAR(L$22),1,1)-DATE(YEAR(K$22),MONTH($E$17),DAY($E$17)))/(365+IF(MOD(YEAR(K$22),4),0,1))),0)</f>
        <v>126</v>
      </c>
      <c r="M48" s="46">
        <f>ROUND(M$45*((DATE(YEAR(M$22),1,1)-DATE(YEAR(L$22),MONTH($E$17),DAY($E$17)))/(365+IF(MOD(YEAR(L$22),4),0,1))),0)</f>
        <v>111</v>
      </c>
      <c r="N48" s="46">
        <f>ROUND(N$45*((DATE(YEAR(N$22),1,1)-DATE(YEAR(M$22),MONTH($E$17),DAY($E$17)))/(365+IF(MOD(YEAR(M$22),4),0,1))),0)</f>
        <v>109</v>
      </c>
      <c r="O48" s="46">
        <f>ROUND(O$45*((DATE(YEAR(O$22),1,1)-DATE(YEAR(N$22),MONTH($E$17),DAY($E$17)))/(365+IF(MOD(YEAR(N$22),4),0,1))),0)</f>
        <v>109</v>
      </c>
      <c r="P48" s="46">
        <f>ROUND(P$45*((DATE(YEAR(P$22),1,1)-DATE(YEAR(O$22),MONTH($E$17),DAY($E$17)))/(365+IF(MOD(YEAR(O$22),4),0,1))),0)</f>
        <v>103</v>
      </c>
      <c r="Q48" s="46">
        <f>ROUND(Q$45*((DATE(YEAR(Q$22),1,1)-DATE(YEAR(P$22),MONTH($E$17),DAY($E$17)))/(365+IF(MOD(YEAR(P$22),4),0,1))),0)</f>
        <v>97</v>
      </c>
      <c r="R48" s="46">
        <f>ROUND(R$45*((DATE(YEAR(R$22),1,1)-DATE(YEAR(Q$22),MONTH($E$17),DAY($E$17)))/(365+IF(MOD(YEAR(Q$22),4),0,1))),0)</f>
        <v>99</v>
      </c>
      <c r="S48" s="46">
        <f>ROUND(S$45*((DATE(YEAR(S$22),1,1)-DATE(YEAR(R$22),MONTH($E$17),DAY($E$17)))/(365+IF(MOD(YEAR(R$22),4),0,1))),0)</f>
        <v>89</v>
      </c>
      <c r="T48" s="46">
        <f>ROUND(T$45*((DATE(YEAR(T$22),1,1)-DATE(YEAR(S$22),MONTH($E$17),DAY($E$17)))/(365+IF(MOD(YEAR(S$22),4),0,1))),0)</f>
        <v>85</v>
      </c>
      <c r="U48" s="46">
        <f>ROUND(U$45*((DATE(YEAR(U$22),1,1)-DATE(YEAR(T$22),MONTH($E$17),DAY($E$17)))/(365+IF(MOD(YEAR(T$22),4),0,1))),0)</f>
        <v>84</v>
      </c>
      <c r="V48" s="46">
        <f>ROUND(V$45*((DATE(YEAR(V$22),1,1)-DATE(YEAR(U$22),MONTH($E$17),DAY($E$17)))/(365+IF(MOD(YEAR(U$22),4),0,1))),0)</f>
        <v>83</v>
      </c>
      <c r="W48" s="46">
        <f>ROUND(W$45*((DATE(YEAR(W$22),1,1)-DATE(YEAR(V$22),MONTH($E$17),DAY($E$17)))/(365+IF(MOD(YEAR(V$22),4),0,1))),0)</f>
        <v>75</v>
      </c>
      <c r="X48" s="46">
        <f>ROUND(X$45*((DATE(YEAR(X$22),1,1)-DATE(YEAR(W$22),MONTH($E$17),DAY($E$17)))/(365+IF(MOD(YEAR(W$22),4),0,1))),0)</f>
        <v>78</v>
      </c>
    </row>
    <row r="49" spans="1:24" ht="18">
      <c r="A49" s="5">
        <v>27</v>
      </c>
      <c r="B49" s="63" t="s">
        <v>82</v>
      </c>
      <c r="C49" s="42" t="s">
        <v>101</v>
      </c>
      <c r="D49" s="42"/>
      <c r="E49" s="46">
        <f>ROUND(E$45*((DATE(YEAR(D$22),MONTH($E$17),DAY($E$17))-(DATE(YEAR(D$22),1,1)))/(365+IF(MOD(YEAR(D$22),4),0,1))),0)</f>
        <v>2560</v>
      </c>
      <c r="F49" s="46">
        <f>ROUND(F$45*((DATE(YEAR(E$22),MONTH($E$17),DAY($E$17))-(DATE(YEAR(E$22),1,1)))/(365+IF(MOD(YEAR(E$22),4),0,1))),0)</f>
        <v>1883</v>
      </c>
      <c r="G49" s="46">
        <f>ROUND(G$45*((DATE(YEAR(F$22),MONTH($E$17),DAY($E$17))-(DATE(YEAR(F$22),1,1)))/(365+IF(MOD(YEAR(F$22),4),0,1))),0)</f>
        <v>317</v>
      </c>
      <c r="H49" s="46">
        <f>ROUND(H$45*((DATE(YEAR(G$22),MONTH($E$17),DAY($E$17))-(DATE(YEAR(G$22),1,1)))/(365+IF(MOD(YEAR(G$22),4),0,1))),0)</f>
        <v>370</v>
      </c>
      <c r="I49" s="46">
        <f>ROUND(I$45*((DATE(YEAR(H$22),MONTH($E$17),DAY($E$17))-(DATE(YEAR(H$22),1,1)))/(365+IF(MOD(YEAR(H$22),4),0,1))),0)</f>
        <v>334</v>
      </c>
      <c r="J49" s="46">
        <f>ROUND(J$45*((DATE(YEAR(I$22),MONTH($E$17),DAY($E$17))-(DATE(YEAR(I$22),1,1)))/(365+IF(MOD(YEAR(I$22),4),0,1))),0)</f>
        <v>296</v>
      </c>
      <c r="K49" s="46">
        <f>ROUND(K$45*((DATE(YEAR(J$22),MONTH($E$17),DAY($E$17))-(DATE(YEAR(J$22),1,1)))/(365+IF(MOD(YEAR(J$22),4),0,1))),0)</f>
        <v>339</v>
      </c>
      <c r="L49" s="46">
        <f>ROUND(L$45*((DATE(YEAR(K$22),MONTH($E$17),DAY($E$17))-(DATE(YEAR(K$22),1,1)))/(365+IF(MOD(YEAR(K$22),4),0,1))),0)</f>
        <v>300</v>
      </c>
      <c r="M49" s="46">
        <f>ROUND(M$45*((DATE(YEAR(L$22),MONTH($E$17),DAY($E$17))-(DATE(YEAR(L$22),1,1)))/(365+IF(MOD(YEAR(L$22),4),0,1))),0)</f>
        <v>264</v>
      </c>
      <c r="N49" s="46">
        <f>ROUND(N$45*((DATE(YEAR(M$22),MONTH($E$17),DAY($E$17))-(DATE(YEAR(M$22),1,1)))/(365+IF(MOD(YEAR(M$22),4),0,1))),0)</f>
        <v>260</v>
      </c>
      <c r="O49" s="46">
        <f>ROUND(O$45*((DATE(YEAR(N$22),MONTH($E$17),DAY($E$17))-(DATE(YEAR(N$22),1,1)))/(365+IF(MOD(YEAR(N$22),4),0,1))),0)</f>
        <v>259</v>
      </c>
      <c r="P49" s="46">
        <f>ROUND(P$45*((DATE(YEAR(O$22),MONTH($E$17),DAY($E$17))-(DATE(YEAR(O$22),1,1)))/(365+IF(MOD(YEAR(O$22),4),0,1))),0)</f>
        <v>245</v>
      </c>
      <c r="Q49" s="46">
        <f>ROUND(Q$45*((DATE(YEAR(P$22),MONTH($E$17),DAY($E$17))-(DATE(YEAR(P$22),1,1)))/(365+IF(MOD(YEAR(P$22),4),0,1))),0)</f>
        <v>232</v>
      </c>
      <c r="R49" s="46">
        <f>ROUND(R$45*((DATE(YEAR(Q$22),MONTH($E$17),DAY($E$17))-(DATE(YEAR(Q$22),1,1)))/(365+IF(MOD(YEAR(Q$22),4),0,1))),0)</f>
        <v>236</v>
      </c>
      <c r="S49" s="46">
        <f>ROUND(S$45*((DATE(YEAR(R$22),MONTH($E$17),DAY($E$17))-(DATE(YEAR(R$22),1,1)))/(365+IF(MOD(YEAR(R$22),4),0,1))),0)</f>
        <v>213</v>
      </c>
      <c r="T49" s="46">
        <f>ROUND(T$45*((DATE(YEAR(S$22),MONTH($E$17),DAY($E$17))-(DATE(YEAR(S$22),1,1)))/(365+IF(MOD(YEAR(S$22),4),0,1))),0)</f>
        <v>202</v>
      </c>
      <c r="U49" s="46">
        <f>ROUND(U$45*((DATE(YEAR(T$22),MONTH($E$17),DAY($E$17))-(DATE(YEAR(T$22),1,1)))/(365+IF(MOD(YEAR(T$22),4),0,1))),0)</f>
        <v>202</v>
      </c>
      <c r="V49" s="46">
        <f>ROUND(V$45*((DATE(YEAR(U$22),MONTH($E$17),DAY($E$17))-(DATE(YEAR(U$22),1,1)))/(365+IF(MOD(YEAR(U$22),4),0,1))),0)</f>
        <v>199</v>
      </c>
      <c r="W49" s="46">
        <f>ROUND(W$45*((DATE(YEAR(V$22),MONTH($E$17),DAY($E$17))-(DATE(YEAR(V$22),1,1)))/(365+IF(MOD(YEAR(V$22),4),0,1))),0)</f>
        <v>180</v>
      </c>
      <c r="X49" s="46">
        <f>ROUND(X$45*((DATE(YEAR(W$22),MONTH($E$17),DAY($E$17))-(DATE(YEAR(W$22),1,1)))/(365+IF(MOD(YEAR(W$22),4),0,1))),0)</f>
        <v>186</v>
      </c>
    </row>
    <row r="50" spans="1:24" ht="18">
      <c r="A50" s="5">
        <v>28</v>
      </c>
      <c r="B50" s="63" t="s">
        <v>85</v>
      </c>
      <c r="C50" s="42" t="s">
        <v>102</v>
      </c>
      <c r="D50" s="42"/>
      <c r="E50" s="46">
        <f>IF(E$45&gt;0,ROUND((E48/E$45)*E$46,0),0)</f>
        <v>161</v>
      </c>
      <c r="F50" s="46">
        <f t="shared" ref="F50:X51" si="13">IF(F$45&gt;0,ROUND((F48/F$45)*F$46,0),0)</f>
        <v>119</v>
      </c>
      <c r="G50" s="46">
        <f t="shared" si="13"/>
        <v>20</v>
      </c>
      <c r="H50" s="46">
        <f t="shared" si="13"/>
        <v>23</v>
      </c>
      <c r="I50" s="46">
        <f t="shared" si="13"/>
        <v>21</v>
      </c>
      <c r="J50" s="46">
        <f t="shared" si="13"/>
        <v>19</v>
      </c>
      <c r="K50" s="46">
        <f t="shared" si="13"/>
        <v>22</v>
      </c>
      <c r="L50" s="46">
        <f t="shared" si="13"/>
        <v>19</v>
      </c>
      <c r="M50" s="46">
        <f t="shared" si="13"/>
        <v>17</v>
      </c>
      <c r="N50" s="46">
        <f t="shared" si="13"/>
        <v>17</v>
      </c>
      <c r="O50" s="46">
        <f t="shared" si="13"/>
        <v>17</v>
      </c>
      <c r="P50" s="46">
        <f t="shared" si="13"/>
        <v>16</v>
      </c>
      <c r="Q50" s="46">
        <f t="shared" si="13"/>
        <v>15</v>
      </c>
      <c r="R50" s="46">
        <f t="shared" si="13"/>
        <v>15</v>
      </c>
      <c r="S50" s="46">
        <f t="shared" si="13"/>
        <v>14</v>
      </c>
      <c r="T50" s="46">
        <f t="shared" si="13"/>
        <v>13</v>
      </c>
      <c r="U50" s="46">
        <f t="shared" si="13"/>
        <v>13</v>
      </c>
      <c r="V50" s="46">
        <f t="shared" si="13"/>
        <v>13</v>
      </c>
      <c r="W50" s="46">
        <f t="shared" si="13"/>
        <v>11</v>
      </c>
      <c r="X50" s="46">
        <f t="shared" si="13"/>
        <v>12</v>
      </c>
    </row>
    <row r="51" spans="1:24" ht="18">
      <c r="A51" s="5">
        <v>28</v>
      </c>
      <c r="B51" s="63" t="s">
        <v>85</v>
      </c>
      <c r="C51" s="42" t="s">
        <v>103</v>
      </c>
      <c r="D51" s="44"/>
      <c r="E51" s="46">
        <f>IF(E$45&gt;0,ROUND((E49/E$45)*E$46,0),0)</f>
        <v>384</v>
      </c>
      <c r="F51" s="46">
        <f t="shared" si="13"/>
        <v>283</v>
      </c>
      <c r="G51" s="46">
        <f t="shared" si="13"/>
        <v>48</v>
      </c>
      <c r="H51" s="46">
        <f t="shared" si="13"/>
        <v>56</v>
      </c>
      <c r="I51" s="46">
        <f t="shared" si="13"/>
        <v>51</v>
      </c>
      <c r="J51" s="46">
        <f t="shared" si="13"/>
        <v>45</v>
      </c>
      <c r="K51" s="46">
        <f t="shared" si="13"/>
        <v>51</v>
      </c>
      <c r="L51" s="46">
        <f t="shared" si="13"/>
        <v>45</v>
      </c>
      <c r="M51" s="46">
        <f t="shared" si="13"/>
        <v>40</v>
      </c>
      <c r="N51" s="46">
        <f t="shared" si="13"/>
        <v>39</v>
      </c>
      <c r="O51" s="46">
        <f t="shared" si="13"/>
        <v>39</v>
      </c>
      <c r="P51" s="46">
        <f t="shared" si="13"/>
        <v>37</v>
      </c>
      <c r="Q51" s="46">
        <f t="shared" si="13"/>
        <v>35</v>
      </c>
      <c r="R51" s="46">
        <f t="shared" si="13"/>
        <v>36</v>
      </c>
      <c r="S51" s="46">
        <f t="shared" si="13"/>
        <v>32</v>
      </c>
      <c r="T51" s="46">
        <f t="shared" si="13"/>
        <v>31</v>
      </c>
      <c r="U51" s="46">
        <f t="shared" si="13"/>
        <v>30</v>
      </c>
      <c r="V51" s="46">
        <f t="shared" si="13"/>
        <v>30</v>
      </c>
      <c r="W51" s="46">
        <f t="shared" si="13"/>
        <v>28</v>
      </c>
      <c r="X51" s="46">
        <f t="shared" si="13"/>
        <v>28</v>
      </c>
    </row>
    <row r="52" spans="1:24" ht="18">
      <c r="A52" s="5">
        <v>29</v>
      </c>
      <c r="B52" s="63" t="s">
        <v>86</v>
      </c>
      <c r="C52" s="42" t="s">
        <v>104</v>
      </c>
      <c r="D52" s="42"/>
      <c r="E52" s="46">
        <f>E48-E50</f>
        <v>910</v>
      </c>
      <c r="F52" s="46">
        <f t="shared" ref="F52:X53" si="14">F48-F50</f>
        <v>672</v>
      </c>
      <c r="G52" s="46">
        <f t="shared" si="14"/>
        <v>113</v>
      </c>
      <c r="H52" s="46">
        <f t="shared" si="14"/>
        <v>133</v>
      </c>
      <c r="I52" s="46">
        <f t="shared" si="14"/>
        <v>119</v>
      </c>
      <c r="J52" s="46">
        <f t="shared" si="14"/>
        <v>106</v>
      </c>
      <c r="K52" s="46">
        <f t="shared" si="14"/>
        <v>121</v>
      </c>
      <c r="L52" s="46">
        <f t="shared" si="14"/>
        <v>107</v>
      </c>
      <c r="M52" s="46">
        <f t="shared" si="14"/>
        <v>94</v>
      </c>
      <c r="N52" s="46">
        <f t="shared" si="14"/>
        <v>92</v>
      </c>
      <c r="O52" s="46">
        <f t="shared" si="14"/>
        <v>92</v>
      </c>
      <c r="P52" s="46">
        <f t="shared" si="14"/>
        <v>87</v>
      </c>
      <c r="Q52" s="46">
        <f t="shared" si="14"/>
        <v>82</v>
      </c>
      <c r="R52" s="46">
        <f t="shared" si="14"/>
        <v>84</v>
      </c>
      <c r="S52" s="46">
        <f t="shared" si="14"/>
        <v>75</v>
      </c>
      <c r="T52" s="46">
        <f t="shared" si="14"/>
        <v>72</v>
      </c>
      <c r="U52" s="46">
        <f t="shared" si="14"/>
        <v>71</v>
      </c>
      <c r="V52" s="46">
        <f t="shared" si="14"/>
        <v>70</v>
      </c>
      <c r="W52" s="46">
        <f t="shared" si="14"/>
        <v>64</v>
      </c>
      <c r="X52" s="46">
        <f t="shared" si="14"/>
        <v>66</v>
      </c>
    </row>
    <row r="53" spans="1:24" ht="18">
      <c r="A53" s="5">
        <v>29</v>
      </c>
      <c r="B53" s="63" t="s">
        <v>86</v>
      </c>
      <c r="C53" s="42" t="s">
        <v>105</v>
      </c>
      <c r="D53" s="42"/>
      <c r="E53" s="46">
        <f>E49-E51</f>
        <v>2176</v>
      </c>
      <c r="F53" s="46">
        <f t="shared" si="14"/>
        <v>1600</v>
      </c>
      <c r="G53" s="46">
        <f t="shared" si="14"/>
        <v>269</v>
      </c>
      <c r="H53" s="46">
        <f t="shared" si="14"/>
        <v>314</v>
      </c>
      <c r="I53" s="46">
        <f t="shared" si="14"/>
        <v>283</v>
      </c>
      <c r="J53" s="46">
        <f t="shared" si="14"/>
        <v>251</v>
      </c>
      <c r="K53" s="46">
        <f t="shared" si="14"/>
        <v>288</v>
      </c>
      <c r="L53" s="46">
        <f t="shared" si="14"/>
        <v>255</v>
      </c>
      <c r="M53" s="46">
        <f t="shared" si="14"/>
        <v>224</v>
      </c>
      <c r="N53" s="46">
        <f t="shared" si="14"/>
        <v>221</v>
      </c>
      <c r="O53" s="46">
        <f t="shared" si="14"/>
        <v>220</v>
      </c>
      <c r="P53" s="46">
        <f t="shared" si="14"/>
        <v>208</v>
      </c>
      <c r="Q53" s="46">
        <f t="shared" si="14"/>
        <v>197</v>
      </c>
      <c r="R53" s="46">
        <f t="shared" si="14"/>
        <v>200</v>
      </c>
      <c r="S53" s="46">
        <f t="shared" si="14"/>
        <v>181</v>
      </c>
      <c r="T53" s="46">
        <f t="shared" si="14"/>
        <v>171</v>
      </c>
      <c r="U53" s="46">
        <f t="shared" si="14"/>
        <v>172</v>
      </c>
      <c r="V53" s="46">
        <f t="shared" si="14"/>
        <v>169</v>
      </c>
      <c r="W53" s="46">
        <f t="shared" si="14"/>
        <v>152</v>
      </c>
      <c r="X53" s="46">
        <f t="shared" si="14"/>
        <v>158</v>
      </c>
    </row>
    <row r="54" spans="1:24">
      <c r="A54" s="5"/>
      <c r="B54" s="63"/>
      <c r="C54" s="29" t="s">
        <v>87</v>
      </c>
      <c r="D54" s="43"/>
      <c r="E54" s="46">
        <f>D$54+E$45</f>
        <v>3631</v>
      </c>
      <c r="F54" s="46">
        <f t="shared" ref="F54:X54" si="15">E$54+F$45</f>
        <v>6305</v>
      </c>
      <c r="G54" s="46">
        <f t="shared" si="15"/>
        <v>6755</v>
      </c>
      <c r="H54" s="46">
        <f t="shared" si="15"/>
        <v>7281</v>
      </c>
      <c r="I54" s="46">
        <f t="shared" si="15"/>
        <v>7755</v>
      </c>
      <c r="J54" s="46">
        <f t="shared" si="15"/>
        <v>8176</v>
      </c>
      <c r="K54" s="46">
        <f t="shared" si="15"/>
        <v>8658</v>
      </c>
      <c r="L54" s="46">
        <f t="shared" si="15"/>
        <v>9084</v>
      </c>
      <c r="M54" s="46">
        <f t="shared" si="15"/>
        <v>9459</v>
      </c>
      <c r="N54" s="46">
        <f t="shared" si="15"/>
        <v>9828</v>
      </c>
      <c r="O54" s="46">
        <f t="shared" si="15"/>
        <v>10196</v>
      </c>
      <c r="P54" s="46">
        <f t="shared" si="15"/>
        <v>10544</v>
      </c>
      <c r="Q54" s="46">
        <f t="shared" si="15"/>
        <v>10873</v>
      </c>
      <c r="R54" s="46">
        <f t="shared" si="15"/>
        <v>11208</v>
      </c>
      <c r="S54" s="46">
        <f t="shared" si="15"/>
        <v>11510</v>
      </c>
      <c r="T54" s="46">
        <f t="shared" si="15"/>
        <v>11797</v>
      </c>
      <c r="U54" s="46">
        <f t="shared" si="15"/>
        <v>12083</v>
      </c>
      <c r="V54" s="46">
        <f t="shared" si="15"/>
        <v>12365</v>
      </c>
      <c r="W54" s="46">
        <f t="shared" si="15"/>
        <v>12620</v>
      </c>
      <c r="X54" s="46">
        <f t="shared" si="15"/>
        <v>12884</v>
      </c>
    </row>
    <row r="55" spans="1:24">
      <c r="A55" s="5"/>
      <c r="B55" s="63"/>
      <c r="C55" s="29" t="s">
        <v>89</v>
      </c>
      <c r="D55" s="43"/>
      <c r="E55" s="46">
        <f t="shared" ref="E55:X55" si="16">D$55+E$46</f>
        <v>545</v>
      </c>
      <c r="F55" s="46">
        <f t="shared" si="16"/>
        <v>947</v>
      </c>
      <c r="G55" s="46">
        <f t="shared" si="16"/>
        <v>1015</v>
      </c>
      <c r="H55" s="46">
        <f t="shared" si="16"/>
        <v>1094</v>
      </c>
      <c r="I55" s="46">
        <f t="shared" si="16"/>
        <v>1166</v>
      </c>
      <c r="J55" s="46">
        <f t="shared" si="16"/>
        <v>1230</v>
      </c>
      <c r="K55" s="46">
        <f t="shared" si="16"/>
        <v>1303</v>
      </c>
      <c r="L55" s="46">
        <f t="shared" si="16"/>
        <v>1367</v>
      </c>
      <c r="M55" s="46">
        <f t="shared" si="16"/>
        <v>1424</v>
      </c>
      <c r="N55" s="46">
        <f t="shared" si="16"/>
        <v>1480</v>
      </c>
      <c r="O55" s="46">
        <f t="shared" si="16"/>
        <v>1536</v>
      </c>
      <c r="P55" s="46">
        <f t="shared" si="16"/>
        <v>1589</v>
      </c>
      <c r="Q55" s="46">
        <f t="shared" si="16"/>
        <v>1639</v>
      </c>
      <c r="R55" s="46">
        <f t="shared" si="16"/>
        <v>1690</v>
      </c>
      <c r="S55" s="46">
        <f t="shared" si="16"/>
        <v>1736</v>
      </c>
      <c r="T55" s="46">
        <f t="shared" si="16"/>
        <v>1780</v>
      </c>
      <c r="U55" s="46">
        <f t="shared" si="16"/>
        <v>1823</v>
      </c>
      <c r="V55" s="46">
        <f t="shared" si="16"/>
        <v>1866</v>
      </c>
      <c r="W55" s="46">
        <f t="shared" si="16"/>
        <v>1905</v>
      </c>
      <c r="X55" s="46">
        <f t="shared" si="16"/>
        <v>1945</v>
      </c>
    </row>
    <row r="56" spans="1:24">
      <c r="A56" s="5"/>
      <c r="B56" s="63"/>
      <c r="C56" s="29" t="s">
        <v>88</v>
      </c>
      <c r="D56" s="43"/>
      <c r="E56" s="46">
        <f>D$56+E$47</f>
        <v>3086</v>
      </c>
      <c r="F56" s="46">
        <f t="shared" ref="F56:X56" si="17">E$56+F$47</f>
        <v>5358</v>
      </c>
      <c r="G56" s="46">
        <f t="shared" si="17"/>
        <v>5740</v>
      </c>
      <c r="H56" s="46">
        <f t="shared" si="17"/>
        <v>6187</v>
      </c>
      <c r="I56" s="46">
        <f t="shared" si="17"/>
        <v>6589</v>
      </c>
      <c r="J56" s="46">
        <f t="shared" si="17"/>
        <v>6946</v>
      </c>
      <c r="K56" s="46">
        <f t="shared" si="17"/>
        <v>7355</v>
      </c>
      <c r="L56" s="46">
        <f t="shared" si="17"/>
        <v>7717</v>
      </c>
      <c r="M56" s="46">
        <f t="shared" si="17"/>
        <v>8035</v>
      </c>
      <c r="N56" s="46">
        <f t="shared" si="17"/>
        <v>8348</v>
      </c>
      <c r="O56" s="46">
        <f t="shared" si="17"/>
        <v>8660</v>
      </c>
      <c r="P56" s="46">
        <f t="shared" si="17"/>
        <v>8955</v>
      </c>
      <c r="Q56" s="46">
        <f t="shared" si="17"/>
        <v>9234</v>
      </c>
      <c r="R56" s="46">
        <f t="shared" si="17"/>
        <v>9518</v>
      </c>
      <c r="S56" s="46">
        <f t="shared" si="17"/>
        <v>9774</v>
      </c>
      <c r="T56" s="46">
        <f t="shared" si="17"/>
        <v>10017</v>
      </c>
      <c r="U56" s="46">
        <f t="shared" si="17"/>
        <v>10260</v>
      </c>
      <c r="V56" s="46">
        <f t="shared" si="17"/>
        <v>10499</v>
      </c>
      <c r="W56" s="46">
        <f t="shared" si="17"/>
        <v>10715</v>
      </c>
      <c r="X56" s="46">
        <f t="shared" si="17"/>
        <v>10939</v>
      </c>
    </row>
    <row r="57" spans="1:24">
      <c r="A57" s="5"/>
      <c r="B57" s="63"/>
      <c r="C57" s="49" t="s">
        <v>109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>
      <c r="A58" s="5"/>
      <c r="B58" s="63"/>
      <c r="C58" s="51" t="s">
        <v>108</v>
      </c>
      <c r="D58" s="52"/>
      <c r="E58" s="53">
        <f>IF($E$44&gt;=0, 0, $E$44)</f>
        <v>0</v>
      </c>
      <c r="F58" s="53">
        <f>IF(AND(COUNTIF($E58:E58,0)=0,F44+E58&lt;0),F44+E58,0)</f>
        <v>0</v>
      </c>
      <c r="G58" s="53">
        <f>IF(AND(COUNTIF($E58:F58,0)=0,G44+F58&lt;0),G44+F58,0)</f>
        <v>0</v>
      </c>
      <c r="H58" s="53">
        <f>IF(AND(COUNTIF($E58:G58,0)=0,H44+G58&lt;0),H44+G58,0)</f>
        <v>0</v>
      </c>
      <c r="I58" s="53">
        <f>IF(AND(COUNTIF($E58:H58,0)=0,I44+H58&lt;0),I44+H58,0)</f>
        <v>0</v>
      </c>
      <c r="J58" s="53">
        <f>IF(AND(COUNTIF($E58:I58,0)=0,J44+I58&lt;0),J44+I58,0)</f>
        <v>0</v>
      </c>
      <c r="K58" s="53">
        <f>IF(AND(COUNTIF($E58:J58,0)=0,K44+J58&lt;0),K44+J58,0)</f>
        <v>0</v>
      </c>
      <c r="L58" s="53">
        <f>IF(AND(COUNTIF($E58:K58,0)=0,L44+K58&lt;0),L44+K58,0)</f>
        <v>0</v>
      </c>
      <c r="M58" s="53">
        <f>IF(AND(COUNTIF($E58:L58,0)=0,M44+L58&lt;0),M44+L58,0)</f>
        <v>0</v>
      </c>
      <c r="N58" s="53">
        <f>IF(AND(COUNTIF($E58:M58,0)=0,N44+M58&lt;0),N44+M58,0)</f>
        <v>0</v>
      </c>
      <c r="O58" s="53">
        <f>IF(AND(COUNTIF($E58:N58,0)=0,O44+N58&lt;0),O44+N58,0)</f>
        <v>0</v>
      </c>
      <c r="P58" s="53">
        <f>IF(AND(COUNTIF($E58:O58,0)=0,P44+O58&lt;0),P44+O58,0)</f>
        <v>0</v>
      </c>
      <c r="Q58" s="53">
        <f>IF(AND(COUNTIF($E58:P58,0)=0,Q44+P58&lt;0),Q44+P58,0)</f>
        <v>0</v>
      </c>
      <c r="R58" s="53">
        <f>IF(AND(COUNTIF($E58:Q58,0)=0,R44+Q58&lt;0),R44+Q58,0)</f>
        <v>0</v>
      </c>
      <c r="S58" s="53">
        <f>IF(AND(COUNTIF($E58:R58,0)=0,S44+R58&lt;0),S44+R58,0)</f>
        <v>0</v>
      </c>
      <c r="T58" s="53">
        <f>IF(AND(COUNTIF($E58:S58,0)=0,T44+S58&lt;0),T44+S58,0)</f>
        <v>0</v>
      </c>
      <c r="U58" s="53">
        <f>IF(AND(COUNTIF($E58:T58,0)=0,U44+T58&lt;0),U44+T58,0)</f>
        <v>0</v>
      </c>
      <c r="V58" s="53">
        <f>IF(AND(COUNTIF($E58:U58,0)=0,V44+U58&lt;0),V44+U58,0)</f>
        <v>0</v>
      </c>
      <c r="W58" s="53">
        <f>IF(AND(COUNTIF($E58:V58,0)=0,W44+V58&lt;0),W44+V58,0)</f>
        <v>0</v>
      </c>
      <c r="X58" s="53">
        <f>IF(AND(COUNTIF($E58:W58,0)=0,X44+W58&lt;0),X44+W58,0)</f>
        <v>0</v>
      </c>
    </row>
    <row r="59" spans="1:24">
      <c r="A59" s="5"/>
      <c r="B59" s="63"/>
      <c r="C59" s="51" t="s">
        <v>106</v>
      </c>
      <c r="D59" s="52"/>
      <c r="E59" s="53">
        <f>IF(E44&lt;0,IF(E58=0,E44,0),0)</f>
        <v>0</v>
      </c>
      <c r="F59" s="53">
        <f t="shared" ref="F59:X59" si="18">IF(F44&lt;0,IF(F58=0,F44,0),0)</f>
        <v>0</v>
      </c>
      <c r="G59" s="53">
        <f t="shared" si="18"/>
        <v>0</v>
      </c>
      <c r="H59" s="53">
        <f t="shared" si="18"/>
        <v>0</v>
      </c>
      <c r="I59" s="53">
        <f t="shared" si="18"/>
        <v>0</v>
      </c>
      <c r="J59" s="53">
        <f t="shared" si="18"/>
        <v>0</v>
      </c>
      <c r="K59" s="53">
        <f t="shared" si="18"/>
        <v>0</v>
      </c>
      <c r="L59" s="53">
        <f t="shared" si="18"/>
        <v>0</v>
      </c>
      <c r="M59" s="53">
        <f t="shared" si="18"/>
        <v>0</v>
      </c>
      <c r="N59" s="53">
        <f t="shared" si="18"/>
        <v>0</v>
      </c>
      <c r="O59" s="53">
        <f t="shared" si="18"/>
        <v>0</v>
      </c>
      <c r="P59" s="53">
        <f t="shared" si="18"/>
        <v>0</v>
      </c>
      <c r="Q59" s="53">
        <f t="shared" si="18"/>
        <v>0</v>
      </c>
      <c r="R59" s="53">
        <f t="shared" si="18"/>
        <v>0</v>
      </c>
      <c r="S59" s="53">
        <f t="shared" si="18"/>
        <v>0</v>
      </c>
      <c r="T59" s="53">
        <f t="shared" si="18"/>
        <v>0</v>
      </c>
      <c r="U59" s="53">
        <f t="shared" si="18"/>
        <v>0</v>
      </c>
      <c r="V59" s="53">
        <f t="shared" si="18"/>
        <v>0</v>
      </c>
      <c r="W59" s="53">
        <f t="shared" si="18"/>
        <v>0</v>
      </c>
      <c r="X59" s="53">
        <f t="shared" si="18"/>
        <v>0</v>
      </c>
    </row>
    <row r="60" spans="1:24">
      <c r="A60" s="5"/>
      <c r="B60" s="63"/>
      <c r="C60" s="54" t="s">
        <v>48</v>
      </c>
      <c r="D60" s="55"/>
      <c r="E60" s="56">
        <f>D$60+E$59</f>
        <v>0</v>
      </c>
      <c r="F60" s="56">
        <f t="shared" ref="F60:X60" si="19">E$60+F$59</f>
        <v>0</v>
      </c>
      <c r="G60" s="56">
        <f t="shared" si="19"/>
        <v>0</v>
      </c>
      <c r="H60" s="56">
        <f t="shared" si="19"/>
        <v>0</v>
      </c>
      <c r="I60" s="56">
        <f t="shared" si="19"/>
        <v>0</v>
      </c>
      <c r="J60" s="56">
        <f t="shared" si="19"/>
        <v>0</v>
      </c>
      <c r="K60" s="56">
        <f t="shared" si="19"/>
        <v>0</v>
      </c>
      <c r="L60" s="56">
        <f t="shared" si="19"/>
        <v>0</v>
      </c>
      <c r="M60" s="56">
        <f t="shared" si="19"/>
        <v>0</v>
      </c>
      <c r="N60" s="56">
        <f t="shared" si="19"/>
        <v>0</v>
      </c>
      <c r="O60" s="56">
        <f t="shared" si="19"/>
        <v>0</v>
      </c>
      <c r="P60" s="56">
        <f t="shared" si="19"/>
        <v>0</v>
      </c>
      <c r="Q60" s="56">
        <f t="shared" si="19"/>
        <v>0</v>
      </c>
      <c r="R60" s="56">
        <f t="shared" si="19"/>
        <v>0</v>
      </c>
      <c r="S60" s="56">
        <f t="shared" si="19"/>
        <v>0</v>
      </c>
      <c r="T60" s="56">
        <f t="shared" si="19"/>
        <v>0</v>
      </c>
      <c r="U60" s="56">
        <f t="shared" si="19"/>
        <v>0</v>
      </c>
      <c r="V60" s="56">
        <f t="shared" si="19"/>
        <v>0</v>
      </c>
      <c r="W60" s="56">
        <f t="shared" si="19"/>
        <v>0</v>
      </c>
      <c r="X60" s="56">
        <f t="shared" si="19"/>
        <v>0</v>
      </c>
    </row>
    <row r="61" spans="1:24">
      <c r="A61" s="5"/>
      <c r="B61" s="58"/>
      <c r="C61" s="48"/>
      <c r="D61" s="48"/>
      <c r="E61" s="48"/>
      <c r="F61" s="48"/>
      <c r="G61" s="48"/>
      <c r="H61" s="48"/>
      <c r="I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>
      <c r="A62" s="5"/>
      <c r="B62" s="58"/>
      <c r="C62" s="3" t="s">
        <v>17</v>
      </c>
      <c r="D62" s="48">
        <f>D24+D25</f>
        <v>20939.759999999998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>
      <c r="A63" s="5"/>
      <c r="B63" s="58"/>
      <c r="C63" s="3" t="s">
        <v>90</v>
      </c>
      <c r="D63" s="48">
        <f>D24+D25</f>
        <v>20939.759999999998</v>
      </c>
      <c r="E63" s="48">
        <f t="shared" ref="E63:X63" si="20">E24+E25</f>
        <v>15536.8256</v>
      </c>
      <c r="F63" s="48">
        <f t="shared" si="20"/>
        <v>10801.472000000002</v>
      </c>
      <c r="G63" s="48">
        <f t="shared" si="20"/>
        <v>11392.475199999999</v>
      </c>
      <c r="H63" s="48">
        <f t="shared" si="20"/>
        <v>12145.793600000001</v>
      </c>
      <c r="I63" s="48">
        <f t="shared" si="20"/>
        <v>12795.4208</v>
      </c>
      <c r="J63" s="48">
        <f t="shared" si="20"/>
        <v>13386.424000000001</v>
      </c>
      <c r="K63" s="48">
        <f t="shared" si="20"/>
        <v>14081.851199999999</v>
      </c>
      <c r="L63" s="48">
        <f t="shared" si="20"/>
        <v>11973.951999999999</v>
      </c>
      <c r="M63" s="48">
        <f t="shared" si="20"/>
        <v>12481.416000000001</v>
      </c>
      <c r="N63" s="48">
        <f t="shared" si="20"/>
        <v>12999.871999999998</v>
      </c>
      <c r="O63" s="48">
        <f t="shared" si="20"/>
        <v>10535.465600000001</v>
      </c>
      <c r="P63" s="48">
        <f t="shared" si="20"/>
        <v>11117.308799999999</v>
      </c>
      <c r="Q63" s="48">
        <f t="shared" si="20"/>
        <v>11771.3328</v>
      </c>
      <c r="R63" s="48">
        <f t="shared" si="20"/>
        <v>8851.8576000000012</v>
      </c>
      <c r="S63" s="48">
        <f t="shared" si="20"/>
        <v>9496.7216000000008</v>
      </c>
      <c r="T63" s="48">
        <f t="shared" si="20"/>
        <v>10157.340799999998</v>
      </c>
      <c r="U63" s="48">
        <f t="shared" si="20"/>
        <v>11228.328</v>
      </c>
      <c r="V63" s="48">
        <f t="shared" si="20"/>
        <v>12418.7616</v>
      </c>
      <c r="W63" s="48">
        <f t="shared" si="20"/>
        <v>13305.083199999999</v>
      </c>
      <c r="X63" s="48">
        <f t="shared" si="20"/>
        <v>10789.380800000001</v>
      </c>
    </row>
    <row r="64" spans="1:24">
      <c r="A64" s="5"/>
      <c r="B64" s="58"/>
      <c r="C64" s="3" t="s">
        <v>18</v>
      </c>
      <c r="D64" s="48">
        <f>IF(SUM($D31:D31)=1,D30,D24+D25)</f>
        <v>20939.759999999998</v>
      </c>
      <c r="E64" s="48">
        <f>IF(SUM($D31:E31)=1,E30,E24+E25)</f>
        <v>15536.8256</v>
      </c>
      <c r="F64" s="48">
        <f>IF(SUM($D31:F31)=1,F30,F24+F25)</f>
        <v>12023.932624000003</v>
      </c>
      <c r="G64" s="48">
        <f>IF(SUM($D31:G31)=1,G30,G24+G25)</f>
        <v>12023.932624000003</v>
      </c>
      <c r="H64" s="48">
        <f>IF(SUM($D31:H31)=1,H30,H24+H25)</f>
        <v>12023.932624000003</v>
      </c>
      <c r="I64" s="48">
        <f>IF(SUM($D31:I31)=1,I30,I24+I25)</f>
        <v>12023.932624000003</v>
      </c>
      <c r="J64" s="48">
        <f>IF(SUM($D31:J31)=1,J30,J24+J25)</f>
        <v>12023.932624000003</v>
      </c>
      <c r="K64" s="48">
        <f>IF(SUM($D31:K31)=1,K30,K24+K25)</f>
        <v>12023.932624000003</v>
      </c>
      <c r="L64" s="48">
        <f>IF(SUM($D31:L31)=1,L30,L24+L25)</f>
        <v>12023.932624000003</v>
      </c>
      <c r="M64" s="48">
        <f>IF(SUM($D31:M31)=1,M30,M24+M25)</f>
        <v>12023.932624000003</v>
      </c>
      <c r="N64" s="48">
        <f>IF(SUM($D31:N31)=1,N30,N24+N25)</f>
        <v>12023.932624000003</v>
      </c>
      <c r="O64" s="48">
        <f>IF(SUM($D31:O31)=1,O30,O24+O25)</f>
        <v>12023.932624000003</v>
      </c>
      <c r="P64" s="48">
        <f>IF(SUM($D31:P31)=1,P30,P24+P25)</f>
        <v>12023.932624000003</v>
      </c>
      <c r="Q64" s="48">
        <f>IF(SUM($D31:Q31)=1,Q30,Q24+Q25)</f>
        <v>12023.932624000003</v>
      </c>
      <c r="R64" s="48">
        <f>IF(SUM($D31:R31)=1,R30,R24+R25)</f>
        <v>12023.932624000003</v>
      </c>
      <c r="S64" s="48">
        <f>IF(SUM($D31:S31)=1,S30,S24+S25)</f>
        <v>12023.932624000003</v>
      </c>
      <c r="T64" s="48">
        <f>IF(SUM($D31:T31)=1,T30,T24+T25)</f>
        <v>12023.932624000003</v>
      </c>
      <c r="U64" s="48">
        <f>IF(SUM($D31:U31)=1,U30,U24+U25)</f>
        <v>12023.932624000003</v>
      </c>
      <c r="V64" s="48">
        <f>IF(SUM($D31:V31)=1,V30,V24+V25)</f>
        <v>12023.932624000003</v>
      </c>
      <c r="W64" s="48">
        <f>IF(SUM($D31:W31)=1,W30,W24+W25)</f>
        <v>12023.932624000003</v>
      </c>
      <c r="X64" s="48">
        <f>IF(SUM($D31:X31)=1,X30,X24+X25)</f>
        <v>12023.932624000003</v>
      </c>
    </row>
    <row r="65" spans="1:44">
      <c r="A65" s="5"/>
      <c r="B65" s="58"/>
      <c r="C65" s="3" t="s">
        <v>55</v>
      </c>
      <c r="D65" s="48">
        <f t="shared" ref="D65:X65" si="21">SUM(D34:D35)</f>
        <v>20939.759999999998</v>
      </c>
      <c r="E65" s="48">
        <f t="shared" si="21"/>
        <v>21749.137600000002</v>
      </c>
      <c r="F65" s="48">
        <f t="shared" si="21"/>
        <v>22533.966400000001</v>
      </c>
      <c r="G65" s="48">
        <f t="shared" si="21"/>
        <v>23283.9872</v>
      </c>
      <c r="H65" s="48">
        <f t="shared" si="21"/>
        <v>24161.515200000002</v>
      </c>
      <c r="I65" s="48">
        <f t="shared" si="21"/>
        <v>24952.572799999998</v>
      </c>
      <c r="J65" s="48">
        <f t="shared" si="21"/>
        <v>25654.961600000002</v>
      </c>
      <c r="K65" s="48">
        <f t="shared" si="21"/>
        <v>26458.4768</v>
      </c>
      <c r="L65" s="48">
        <f t="shared" si="21"/>
        <v>27168.926400000004</v>
      </c>
      <c r="M65" s="48">
        <f t="shared" si="21"/>
        <v>27794.004800000002</v>
      </c>
      <c r="N65" s="48">
        <f t="shared" si="21"/>
        <v>28409.556799999998</v>
      </c>
      <c r="O65" s="48">
        <f t="shared" si="21"/>
        <v>29023.2768</v>
      </c>
      <c r="P65" s="48">
        <f t="shared" si="21"/>
        <v>29603.458390067615</v>
      </c>
      <c r="Q65" s="48">
        <f t="shared" si="21"/>
        <v>30153.403660949331</v>
      </c>
      <c r="R65" s="48">
        <f t="shared" si="21"/>
        <v>30713.241731831051</v>
      </c>
      <c r="S65" s="48">
        <f t="shared" si="21"/>
        <v>31218.119802712772</v>
      </c>
      <c r="T65" s="48">
        <f t="shared" si="21"/>
        <v>31697.716273594488</v>
      </c>
      <c r="U65" s="48">
        <f t="shared" si="21"/>
        <v>32175.560815537065</v>
      </c>
      <c r="V65" s="48">
        <f t="shared" si="21"/>
        <v>32646.124830212328</v>
      </c>
      <c r="W65" s="48">
        <f t="shared" si="21"/>
        <v>33072.354444887591</v>
      </c>
      <c r="X65" s="48">
        <f t="shared" si="21"/>
        <v>33512.873659562858</v>
      </c>
    </row>
    <row r="67" spans="1:44" s="6" customForma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44"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1" spans="1:44"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4" spans="1:44"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mergeCells count="14">
    <mergeCell ref="A13:B13"/>
    <mergeCell ref="A14:B14"/>
    <mergeCell ref="O14:R14"/>
    <mergeCell ref="O13:R13"/>
    <mergeCell ref="O12:S12"/>
    <mergeCell ref="C13:D13"/>
    <mergeCell ref="C15:D15"/>
    <mergeCell ref="C16:D16"/>
    <mergeCell ref="C17:D17"/>
    <mergeCell ref="J8:R8"/>
    <mergeCell ref="I7:S7"/>
    <mergeCell ref="C14:D14"/>
    <mergeCell ref="C12:E12"/>
    <mergeCell ref="K9:Q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1AEF-83C8-4A85-8F92-BA6429B23C63}">
  <dimension ref="A1:AS74"/>
  <sheetViews>
    <sheetView zoomScaleNormal="100" workbookViewId="0"/>
  </sheetViews>
  <sheetFormatPr defaultRowHeight="15"/>
  <cols>
    <col min="2" max="2" width="15.5703125" customWidth="1"/>
    <col min="3" max="3" width="34.42578125" customWidth="1"/>
    <col min="4" max="24" width="9.7109375" customWidth="1"/>
  </cols>
  <sheetData>
    <row r="1" spans="1:24">
      <c r="B1" t="s">
        <v>50</v>
      </c>
    </row>
    <row r="2" spans="1:24">
      <c r="B2" t="s">
        <v>94</v>
      </c>
    </row>
    <row r="3" spans="1:24">
      <c r="B3" t="s">
        <v>35</v>
      </c>
    </row>
    <row r="4" spans="1:24">
      <c r="B4" t="s">
        <v>36</v>
      </c>
    </row>
    <row r="5" spans="1:24">
      <c r="B5" t="s">
        <v>37</v>
      </c>
      <c r="M5" s="13"/>
    </row>
    <row r="7" spans="1:24">
      <c r="A7" s="3"/>
      <c r="B7" s="3"/>
      <c r="C7" s="3"/>
      <c r="D7" s="3"/>
      <c r="E7" s="3"/>
      <c r="F7" s="3"/>
      <c r="G7" s="3"/>
      <c r="H7" s="3"/>
      <c r="I7" s="72" t="s">
        <v>47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3"/>
      <c r="U7" s="3"/>
      <c r="V7" s="3"/>
      <c r="W7" s="3"/>
      <c r="X7" s="3"/>
    </row>
    <row r="8" spans="1:24">
      <c r="A8" s="3"/>
      <c r="B8" s="3"/>
      <c r="C8" s="3"/>
      <c r="D8" s="3"/>
      <c r="E8" s="3"/>
      <c r="F8" s="3"/>
      <c r="G8" s="17"/>
      <c r="H8" s="17"/>
      <c r="I8" s="17"/>
      <c r="J8" s="71" t="s">
        <v>40</v>
      </c>
      <c r="K8" s="71"/>
      <c r="L8" s="71"/>
      <c r="M8" s="71"/>
      <c r="N8" s="71"/>
      <c r="O8" s="71"/>
      <c r="P8" s="71"/>
      <c r="Q8" s="71"/>
      <c r="R8" s="71"/>
      <c r="S8" s="17"/>
      <c r="T8" s="17"/>
      <c r="U8" s="17"/>
      <c r="V8" s="3"/>
      <c r="W8" s="3"/>
      <c r="X8" s="3"/>
    </row>
    <row r="9" spans="1:24">
      <c r="A9" s="9"/>
      <c r="B9" s="9"/>
      <c r="C9" s="9"/>
      <c r="D9" s="9"/>
      <c r="E9" s="15"/>
      <c r="F9" s="9"/>
      <c r="G9" s="9"/>
      <c r="H9" s="9"/>
      <c r="I9" s="15"/>
      <c r="J9" s="14"/>
      <c r="K9" s="73" t="s">
        <v>41</v>
      </c>
      <c r="L9" s="73"/>
      <c r="M9" s="73"/>
      <c r="N9" s="73"/>
      <c r="O9" s="73"/>
      <c r="P9" s="73"/>
      <c r="Q9" s="73"/>
      <c r="R9" s="14"/>
      <c r="S9" s="14"/>
      <c r="T9" s="9"/>
      <c r="U9" s="9"/>
      <c r="V9" s="16"/>
      <c r="W9" s="16"/>
      <c r="X9" s="16"/>
    </row>
    <row r="10" spans="1:24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5"/>
      <c r="B12" s="3"/>
      <c r="C12" s="73" t="s">
        <v>7</v>
      </c>
      <c r="D12" s="73"/>
      <c r="E12" s="73"/>
      <c r="F12" s="3"/>
      <c r="G12" s="3"/>
      <c r="H12" s="3"/>
      <c r="I12" s="3"/>
      <c r="J12" s="3"/>
      <c r="K12" s="3"/>
      <c r="L12" s="3"/>
      <c r="M12" s="3"/>
      <c r="O12" s="73" t="s">
        <v>31</v>
      </c>
      <c r="P12" s="73"/>
      <c r="Q12" s="73"/>
      <c r="R12" s="73"/>
      <c r="S12" s="73"/>
      <c r="T12" s="3"/>
      <c r="U12" s="3"/>
      <c r="V12" s="3"/>
      <c r="W12" s="3"/>
    </row>
    <row r="13" spans="1:24" ht="18">
      <c r="A13" s="74" t="s">
        <v>27</v>
      </c>
      <c r="B13" s="74"/>
      <c r="C13" s="76" t="s">
        <v>24</v>
      </c>
      <c r="D13" s="76"/>
      <c r="E13" s="19">
        <v>0.05</v>
      </c>
      <c r="F13" s="3"/>
      <c r="G13" s="48"/>
      <c r="H13" s="3"/>
      <c r="I13" s="48"/>
      <c r="J13" s="3"/>
      <c r="K13" s="3"/>
      <c r="L13" s="3"/>
      <c r="M13" s="3"/>
      <c r="N13" s="3" t="s">
        <v>32</v>
      </c>
      <c r="O13" s="75" t="s">
        <v>29</v>
      </c>
      <c r="P13" s="75"/>
      <c r="Q13" s="75"/>
      <c r="R13" s="75"/>
      <c r="S13" s="20">
        <v>0.04</v>
      </c>
      <c r="T13" s="3"/>
      <c r="U13" s="3"/>
      <c r="V13" s="3"/>
      <c r="W13" s="3"/>
      <c r="X13" s="3"/>
    </row>
    <row r="14" spans="1:24" ht="18">
      <c r="A14" s="74" t="s">
        <v>28</v>
      </c>
      <c r="B14" s="74"/>
      <c r="C14" s="70" t="s">
        <v>25</v>
      </c>
      <c r="D14" s="70"/>
      <c r="E14" s="20">
        <v>0.25</v>
      </c>
      <c r="F14" s="3"/>
      <c r="G14" s="48"/>
      <c r="H14" s="48"/>
      <c r="I14" s="48"/>
      <c r="J14" s="3"/>
      <c r="K14" s="3"/>
      <c r="L14" s="3"/>
      <c r="M14" s="3"/>
      <c r="N14" s="3" t="s">
        <v>33</v>
      </c>
      <c r="O14" s="70" t="s">
        <v>30</v>
      </c>
      <c r="P14" s="70"/>
      <c r="Q14" s="70"/>
      <c r="R14" s="70"/>
      <c r="S14" s="20">
        <v>0.22</v>
      </c>
      <c r="T14" s="3"/>
      <c r="U14" s="3"/>
      <c r="V14" s="3"/>
      <c r="W14" s="3"/>
      <c r="X14" s="3"/>
    </row>
    <row r="15" spans="1:24">
      <c r="A15" s="5"/>
      <c r="B15" s="3" t="s">
        <v>13</v>
      </c>
      <c r="C15" s="70" t="s">
        <v>4</v>
      </c>
      <c r="D15" s="70"/>
      <c r="E15" s="57">
        <v>0.4</v>
      </c>
      <c r="F15" s="3"/>
      <c r="G15" s="48"/>
      <c r="H15" s="4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5"/>
      <c r="B16" s="3" t="s">
        <v>12</v>
      </c>
      <c r="C16" s="70" t="s">
        <v>26</v>
      </c>
      <c r="D16" s="70"/>
      <c r="E16" s="20">
        <v>0.18</v>
      </c>
      <c r="F16" s="3"/>
      <c r="G16" s="3"/>
      <c r="H16" s="48"/>
      <c r="I16" s="4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5">
      <c r="A17" s="5"/>
      <c r="B17" s="3"/>
      <c r="C17" s="70" t="s">
        <v>43</v>
      </c>
      <c r="D17" s="70"/>
      <c r="E17" s="45">
        <v>43983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5">
      <c r="A18" s="5"/>
      <c r="B18" s="3"/>
      <c r="C18" s="3"/>
      <c r="D18" s="3"/>
      <c r="E18" s="2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5">
      <c r="A19" s="5"/>
      <c r="B19" s="3"/>
      <c r="C19" s="3"/>
      <c r="D19" s="3"/>
      <c r="E19" s="3" t="s">
        <v>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5" ht="15.75" thickBot="1">
      <c r="A20" s="59"/>
      <c r="B20" s="4"/>
      <c r="C20" s="7" t="s">
        <v>91</v>
      </c>
      <c r="D20" s="8">
        <v>0</v>
      </c>
      <c r="E20" s="8">
        <f>D20+1</f>
        <v>1</v>
      </c>
      <c r="F20" s="8">
        <f t="shared" ref="F20:U20" si="0">E20+1</f>
        <v>2</v>
      </c>
      <c r="G20" s="8">
        <f t="shared" si="0"/>
        <v>3</v>
      </c>
      <c r="H20" s="8">
        <f t="shared" si="0"/>
        <v>4</v>
      </c>
      <c r="I20" s="8">
        <f t="shared" si="0"/>
        <v>5</v>
      </c>
      <c r="J20" s="8">
        <f t="shared" si="0"/>
        <v>6</v>
      </c>
      <c r="K20" s="8">
        <f t="shared" si="0"/>
        <v>7</v>
      </c>
      <c r="L20" s="8">
        <f t="shared" si="0"/>
        <v>8</v>
      </c>
      <c r="M20" s="8">
        <f>L20+1</f>
        <v>9</v>
      </c>
      <c r="N20" s="8">
        <f t="shared" si="0"/>
        <v>10</v>
      </c>
      <c r="O20" s="8">
        <f t="shared" si="0"/>
        <v>11</v>
      </c>
      <c r="P20" s="8">
        <f t="shared" si="0"/>
        <v>12</v>
      </c>
      <c r="Q20" s="8">
        <f t="shared" si="0"/>
        <v>13</v>
      </c>
      <c r="R20" s="8">
        <f t="shared" si="0"/>
        <v>14</v>
      </c>
      <c r="S20" s="8">
        <f t="shared" si="0"/>
        <v>15</v>
      </c>
      <c r="T20" s="8">
        <f t="shared" si="0"/>
        <v>16</v>
      </c>
      <c r="U20" s="8">
        <f t="shared" si="0"/>
        <v>17</v>
      </c>
      <c r="V20" s="8">
        <f t="shared" ref="V20:W20" si="1">U20+1</f>
        <v>18</v>
      </c>
      <c r="W20" s="8">
        <f t="shared" si="1"/>
        <v>19</v>
      </c>
      <c r="X20" s="8">
        <f>W20+1</f>
        <v>20</v>
      </c>
    </row>
    <row r="21" spans="1:25" ht="16.5" thickTop="1" thickBot="1">
      <c r="A21" s="60"/>
      <c r="B21" s="4"/>
      <c r="C21" s="7" t="s">
        <v>92</v>
      </c>
      <c r="D21" s="8"/>
      <c r="E21" s="8">
        <v>1</v>
      </c>
      <c r="F21" s="8">
        <v>2</v>
      </c>
      <c r="G21" s="8">
        <v>3</v>
      </c>
      <c r="H21" s="8">
        <v>4</v>
      </c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8">
        <v>12</v>
      </c>
      <c r="Q21" s="8">
        <v>13</v>
      </c>
      <c r="R21" s="8">
        <v>14</v>
      </c>
      <c r="S21" s="8">
        <v>15</v>
      </c>
      <c r="T21" s="8">
        <v>16</v>
      </c>
      <c r="U21" s="8">
        <v>17</v>
      </c>
      <c r="V21" s="8">
        <v>18</v>
      </c>
      <c r="W21" s="8">
        <v>19</v>
      </c>
      <c r="X21" s="8">
        <v>20</v>
      </c>
    </row>
    <row r="22" spans="1:25" ht="16.5" thickTop="1" thickBot="1">
      <c r="A22" s="69" t="s">
        <v>9</v>
      </c>
      <c r="B22" s="4" t="s">
        <v>10</v>
      </c>
      <c r="C22" s="7" t="s">
        <v>93</v>
      </c>
      <c r="D22" s="68">
        <v>43983</v>
      </c>
      <c r="E22" s="68">
        <v>44348</v>
      </c>
      <c r="F22" s="68">
        <v>44713</v>
      </c>
      <c r="G22" s="68">
        <v>45078</v>
      </c>
      <c r="H22" s="68">
        <v>45444</v>
      </c>
      <c r="I22" s="68">
        <v>45809</v>
      </c>
      <c r="J22" s="68">
        <v>46174</v>
      </c>
      <c r="K22" s="68">
        <v>46539</v>
      </c>
      <c r="L22" s="68">
        <v>46905</v>
      </c>
      <c r="M22" s="68">
        <v>47270</v>
      </c>
      <c r="N22" s="68">
        <v>47635</v>
      </c>
      <c r="O22" s="68">
        <v>48000</v>
      </c>
      <c r="P22" s="68">
        <v>48366</v>
      </c>
      <c r="Q22" s="68">
        <v>48731</v>
      </c>
      <c r="R22" s="68">
        <v>49096</v>
      </c>
      <c r="S22" s="68">
        <v>49461</v>
      </c>
      <c r="T22" s="68">
        <v>49827</v>
      </c>
      <c r="U22" s="68">
        <v>50192</v>
      </c>
      <c r="V22" s="68">
        <v>50557</v>
      </c>
      <c r="W22" s="68">
        <v>50922</v>
      </c>
      <c r="X22" s="68">
        <v>51288</v>
      </c>
    </row>
    <row r="23" spans="1:25" ht="15.75" thickTop="1">
      <c r="A23" s="69"/>
      <c r="B23" s="4"/>
      <c r="C23" s="22" t="s">
        <v>5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5" ht="18">
      <c r="A24" s="5">
        <v>1</v>
      </c>
      <c r="B24" s="63" t="s">
        <v>64</v>
      </c>
      <c r="C24" s="24" t="s">
        <v>20</v>
      </c>
      <c r="D24" s="18">
        <v>17434.411200000002</v>
      </c>
      <c r="E24" s="18">
        <v>12823.267200000002</v>
      </c>
      <c r="F24" s="18">
        <v>9928.3407999999999</v>
      </c>
      <c r="G24" s="18">
        <v>10540.228799999999</v>
      </c>
      <c r="H24" s="18">
        <v>11408.9632</v>
      </c>
      <c r="I24" s="18">
        <v>12099.9936</v>
      </c>
      <c r="J24" s="18">
        <v>12717.011199999999</v>
      </c>
      <c r="K24" s="18">
        <v>13491.947199999999</v>
      </c>
      <c r="L24" s="18">
        <v>11938.044800000001</v>
      </c>
      <c r="M24" s="18">
        <v>12474.088</v>
      </c>
      <c r="N24" s="18">
        <v>13011.963200000002</v>
      </c>
      <c r="O24" s="18">
        <v>10834.081600000001</v>
      </c>
      <c r="P24" s="18">
        <v>11409.696</v>
      </c>
      <c r="Q24" s="18">
        <v>12036.239999999998</v>
      </c>
      <c r="R24" s="18">
        <v>9950.3248000000021</v>
      </c>
      <c r="S24" s="18">
        <v>10557.4496</v>
      </c>
      <c r="T24" s="18">
        <v>11175.9328</v>
      </c>
      <c r="U24" s="18">
        <v>12168.510400000001</v>
      </c>
      <c r="V24" s="18">
        <v>13173.1792</v>
      </c>
      <c r="W24" s="18">
        <v>13940.787200000001</v>
      </c>
      <c r="X24" s="18">
        <v>11910.5648</v>
      </c>
    </row>
    <row r="25" spans="1:25" ht="18">
      <c r="A25" s="5">
        <v>2</v>
      </c>
      <c r="B25" s="63" t="s">
        <v>65</v>
      </c>
      <c r="C25" s="24" t="s">
        <v>21</v>
      </c>
      <c r="D25" s="18">
        <v>1324.5360000000003</v>
      </c>
      <c r="E25" s="18">
        <v>839.42239999999993</v>
      </c>
      <c r="F25" s="18">
        <v>542.27200000000005</v>
      </c>
      <c r="G25" s="18">
        <v>597.96479999999997</v>
      </c>
      <c r="H25" s="18">
        <v>665.01600000000008</v>
      </c>
      <c r="I25" s="18">
        <v>737.19679999999994</v>
      </c>
      <c r="J25" s="18">
        <v>800.95040000000006</v>
      </c>
      <c r="K25" s="18">
        <v>872.76480000000004</v>
      </c>
      <c r="L25" s="18">
        <v>730.23520000000008</v>
      </c>
      <c r="M25" s="18">
        <v>797.65280000000007</v>
      </c>
      <c r="N25" s="18">
        <v>868.36800000000017</v>
      </c>
      <c r="O25" s="18">
        <v>660.25279999999998</v>
      </c>
      <c r="P25" s="18">
        <v>728.03679999999997</v>
      </c>
      <c r="Q25" s="18">
        <v>795.82079999999996</v>
      </c>
      <c r="R25" s="18">
        <v>588.072</v>
      </c>
      <c r="S25" s="18">
        <v>649.26080000000002</v>
      </c>
      <c r="T25" s="18">
        <v>705.68640000000005</v>
      </c>
      <c r="U25" s="18">
        <v>768.70720000000006</v>
      </c>
      <c r="V25" s="18">
        <v>839.78880000000004</v>
      </c>
      <c r="W25" s="18">
        <v>909.03839999999991</v>
      </c>
      <c r="X25" s="18">
        <v>697.99200000000008</v>
      </c>
    </row>
    <row r="26" spans="1:25" ht="18">
      <c r="A26" s="5">
        <v>3</v>
      </c>
      <c r="B26" s="63" t="s">
        <v>66</v>
      </c>
      <c r="C26" s="24" t="s">
        <v>0</v>
      </c>
      <c r="D26" s="18"/>
      <c r="E26" s="18">
        <v>801.09695999999997</v>
      </c>
      <c r="F26" s="18">
        <v>515.37824000000012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317.15584000000001</v>
      </c>
      <c r="M26" s="18">
        <v>0</v>
      </c>
      <c r="N26" s="18">
        <v>0</v>
      </c>
      <c r="O26" s="18">
        <v>396.44480000000004</v>
      </c>
      <c r="P26" s="18">
        <v>0</v>
      </c>
      <c r="Q26" s="18">
        <v>0</v>
      </c>
      <c r="R26" s="18">
        <v>396.44480000000004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396.44480000000004</v>
      </c>
    </row>
    <row r="27" spans="1:25" ht="18">
      <c r="A27" s="5">
        <v>3</v>
      </c>
      <c r="B27" s="63" t="s">
        <v>67</v>
      </c>
      <c r="C27" s="24" t="s">
        <v>19</v>
      </c>
      <c r="D27" s="18"/>
      <c r="E27" s="18">
        <f>AVERAGE(E26:X26)</f>
        <v>141.14827200000002</v>
      </c>
      <c r="F27" s="18">
        <f>E27</f>
        <v>141.14827200000002</v>
      </c>
      <c r="G27" s="18">
        <f>F27</f>
        <v>141.14827200000002</v>
      </c>
      <c r="H27" s="18">
        <f t="shared" ref="H27:W27" si="2">G27</f>
        <v>141.14827200000002</v>
      </c>
      <c r="I27" s="18">
        <f t="shared" si="2"/>
        <v>141.14827200000002</v>
      </c>
      <c r="J27" s="18">
        <f t="shared" si="2"/>
        <v>141.14827200000002</v>
      </c>
      <c r="K27" s="18">
        <f t="shared" si="2"/>
        <v>141.14827200000002</v>
      </c>
      <c r="L27" s="18">
        <f t="shared" si="2"/>
        <v>141.14827200000002</v>
      </c>
      <c r="M27" s="18">
        <f t="shared" si="2"/>
        <v>141.14827200000002</v>
      </c>
      <c r="N27" s="18">
        <f t="shared" si="2"/>
        <v>141.14827200000002</v>
      </c>
      <c r="O27" s="18">
        <f t="shared" si="2"/>
        <v>141.14827200000002</v>
      </c>
      <c r="P27" s="18">
        <f t="shared" si="2"/>
        <v>141.14827200000002</v>
      </c>
      <c r="Q27" s="18">
        <f t="shared" si="2"/>
        <v>141.14827200000002</v>
      </c>
      <c r="R27" s="18">
        <f t="shared" si="2"/>
        <v>141.14827200000002</v>
      </c>
      <c r="S27" s="18">
        <f t="shared" si="2"/>
        <v>141.14827200000002</v>
      </c>
      <c r="T27" s="18">
        <f t="shared" si="2"/>
        <v>141.14827200000002</v>
      </c>
      <c r="U27" s="18">
        <f t="shared" si="2"/>
        <v>141.14827200000002</v>
      </c>
      <c r="V27" s="18">
        <f t="shared" si="2"/>
        <v>141.14827200000002</v>
      </c>
      <c r="W27" s="18">
        <f t="shared" si="2"/>
        <v>141.14827200000002</v>
      </c>
      <c r="X27" s="18">
        <f>W27</f>
        <v>141.14827200000002</v>
      </c>
    </row>
    <row r="28" spans="1:25" ht="18">
      <c r="A28" s="5">
        <v>4</v>
      </c>
      <c r="B28" s="63" t="s">
        <v>68</v>
      </c>
      <c r="C28" s="24" t="s">
        <v>56</v>
      </c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</row>
    <row r="29" spans="1:25" ht="18">
      <c r="A29" s="5">
        <v>4</v>
      </c>
      <c r="B29" s="63" t="s">
        <v>69</v>
      </c>
      <c r="C29" s="24" t="s">
        <v>16</v>
      </c>
      <c r="D29" s="18"/>
      <c r="E29" s="18">
        <f>AVERAGE(E28:X28)</f>
        <v>0</v>
      </c>
      <c r="F29" s="18">
        <f>E29</f>
        <v>0</v>
      </c>
      <c r="G29" s="18">
        <f>F29</f>
        <v>0</v>
      </c>
      <c r="H29" s="18">
        <f t="shared" ref="H29:W30" si="3">G29</f>
        <v>0</v>
      </c>
      <c r="I29" s="18">
        <f t="shared" si="3"/>
        <v>0</v>
      </c>
      <c r="J29" s="18">
        <f>I29</f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18">
        <f t="shared" si="3"/>
        <v>0</v>
      </c>
      <c r="P29" s="18">
        <f t="shared" si="3"/>
        <v>0</v>
      </c>
      <c r="Q29" s="18">
        <f t="shared" si="3"/>
        <v>0</v>
      </c>
      <c r="R29" s="18">
        <f t="shared" si="3"/>
        <v>0</v>
      </c>
      <c r="S29" s="18">
        <f t="shared" si="3"/>
        <v>0</v>
      </c>
      <c r="T29" s="18">
        <f t="shared" si="3"/>
        <v>0</v>
      </c>
      <c r="U29" s="18">
        <f t="shared" si="3"/>
        <v>0</v>
      </c>
      <c r="V29" s="18">
        <f t="shared" si="3"/>
        <v>0</v>
      </c>
      <c r="W29" s="18">
        <f t="shared" si="3"/>
        <v>0</v>
      </c>
      <c r="X29" s="18">
        <f>W29</f>
        <v>0</v>
      </c>
    </row>
    <row r="30" spans="1:25" ht="18">
      <c r="A30" s="10">
        <v>5</v>
      </c>
      <c r="B30" s="63" t="s">
        <v>70</v>
      </c>
      <c r="C30" s="24" t="s">
        <v>1</v>
      </c>
      <c r="D30" s="18"/>
      <c r="E30" s="18">
        <f>(SUM(E24:X25)/20)+E27-E29</f>
        <v>12760.403951999999</v>
      </c>
      <c r="F30" s="18">
        <f>E30</f>
        <v>12760.403951999999</v>
      </c>
      <c r="G30" s="18">
        <f>F30</f>
        <v>12760.403951999999</v>
      </c>
      <c r="H30" s="18">
        <f t="shared" si="3"/>
        <v>12760.403951999999</v>
      </c>
      <c r="I30" s="18">
        <f t="shared" si="3"/>
        <v>12760.403951999999</v>
      </c>
      <c r="J30" s="18">
        <f t="shared" si="3"/>
        <v>12760.403951999999</v>
      </c>
      <c r="K30" s="18">
        <f t="shared" si="3"/>
        <v>12760.403951999999</v>
      </c>
      <c r="L30" s="18">
        <f t="shared" si="3"/>
        <v>12760.403951999999</v>
      </c>
      <c r="M30" s="18">
        <f t="shared" si="3"/>
        <v>12760.403951999999</v>
      </c>
      <c r="N30" s="18">
        <f t="shared" si="3"/>
        <v>12760.403951999999</v>
      </c>
      <c r="O30" s="18">
        <f t="shared" si="3"/>
        <v>12760.403951999999</v>
      </c>
      <c r="P30" s="18">
        <f t="shared" si="3"/>
        <v>12760.403951999999</v>
      </c>
      <c r="Q30" s="18">
        <f t="shared" si="3"/>
        <v>12760.403951999999</v>
      </c>
      <c r="R30" s="18">
        <f t="shared" si="3"/>
        <v>12760.403951999999</v>
      </c>
      <c r="S30" s="18">
        <f t="shared" si="3"/>
        <v>12760.403951999999</v>
      </c>
      <c r="T30" s="18">
        <f t="shared" si="3"/>
        <v>12760.403951999999</v>
      </c>
      <c r="U30" s="18">
        <f t="shared" si="3"/>
        <v>12760.403951999999</v>
      </c>
      <c r="V30" s="18">
        <f t="shared" si="3"/>
        <v>12760.403951999999</v>
      </c>
      <c r="W30" s="18">
        <f t="shared" si="3"/>
        <v>12760.403951999999</v>
      </c>
      <c r="X30" s="18">
        <f>W30</f>
        <v>12760.403951999999</v>
      </c>
      <c r="Y30" s="1"/>
    </row>
    <row r="31" spans="1:25">
      <c r="A31" s="5" t="s">
        <v>8</v>
      </c>
      <c r="B31" s="63" t="s">
        <v>11</v>
      </c>
      <c r="C31" s="24" t="s">
        <v>95</v>
      </c>
      <c r="D31" s="25"/>
      <c r="E31" s="25">
        <f>IF(SUM($D31:D31)=0,(IF($D$24+$D$25&gt;$E$30, IF((E24+E25)&lt;=E30,1,0),IF((E24+E25)&gt;=E30,1,0))),0)</f>
        <v>0</v>
      </c>
      <c r="F31" s="25">
        <f>IF(SUM($D31:E31)=0,(IF($D$24+$D$25&gt;$E$30, IF((F24+F25)&lt;=F30,1,0),IF((F24+F25)&gt;=F30,1,0))),0)</f>
        <v>1</v>
      </c>
      <c r="G31" s="25">
        <f>IF(SUM($D31:F31)=0,(IF($D$24+$D$25&gt;$E$30, IF((G24+G25)&lt;=G30,1,0),IF((G24+G25)&gt;=G30,1,0))),0)</f>
        <v>0</v>
      </c>
      <c r="H31" s="25">
        <f>IF(SUM($D31:G31)=0,(IF($D$24+$D$25&gt;$E$30, IF((H24+H25)&lt;=H30,1,0),IF((H24+H25)&gt;=H30,1,0))),0)</f>
        <v>0</v>
      </c>
      <c r="I31" s="25">
        <f>IF(SUM($D31:H31)=0,(IF($D$24+$D$25&gt;$E$30, IF((I24+I25)&lt;=I30,1,0),IF((I24+I25)&gt;=I30,1,0))),0)</f>
        <v>0</v>
      </c>
      <c r="J31" s="25">
        <f>IF(SUM($D31:I31)=0,(IF($D$24+$D$25&gt;$E$30, IF((J24+J25)&lt;=J30,1,0),IF((J24+J25)&gt;=J30,1,0))),0)</f>
        <v>0</v>
      </c>
      <c r="K31" s="25">
        <f>IF(SUM($D31:J31)=0,(IF($D$24+$D$25&gt;$E$30, IF((K24+K25)&lt;=K30,1,0),IF((K24+K25)&gt;=K30,1,0))),0)</f>
        <v>0</v>
      </c>
      <c r="L31" s="25">
        <f>IF(SUM($D31:K31)=0,(IF($D$24+$D$25&gt;$E$30, IF((L24+L25)&lt;=L30,1,0),IF((L24+L25)&gt;=L30,1,0))),0)</f>
        <v>0</v>
      </c>
      <c r="M31" s="25">
        <f>IF(SUM($D31:L31)=0,(IF($D$24+$D$25&gt;$E$30, IF((M24+M25)&lt;=M30,1,0),IF((M24+M25)&gt;=M30,1,0))),0)</f>
        <v>0</v>
      </c>
      <c r="N31" s="25">
        <f>IF(SUM($D31:M31)=0,(IF($D$24+$D$25&gt;$E$30, IF((N24+N25)&lt;=N30,1,0),IF((N24+N25)&gt;=N30,1,0))),0)</f>
        <v>0</v>
      </c>
      <c r="O31" s="25">
        <f>IF(SUM($D31:N31)=0,(IF($D$24+$D$25&gt;$E$30, IF((O24+O25)&lt;=O30,1,0),IF((O24+O25)&gt;=O30,1,0))),0)</f>
        <v>0</v>
      </c>
      <c r="P31" s="25">
        <f>IF(SUM($D31:O31)=0,(IF($D$24+$D$25&gt;$E$30, IF((P24+P25)&lt;=P30,1,0),IF((P24+P25)&gt;=P30,1,0))),0)</f>
        <v>0</v>
      </c>
      <c r="Q31" s="25">
        <f>IF(SUM($D31:P31)=0,(IF($D$24+$D$25&gt;$E$30, IF((Q24+Q25)&lt;=Q30,1,0),IF((Q24+Q25)&gt;=Q30,1,0))),0)</f>
        <v>0</v>
      </c>
      <c r="R31" s="25">
        <f>IF(SUM($D31:Q31)=0,(IF($D$24+$D$25&gt;$E$30, IF((R24+R25)&lt;=R30,1,0),IF((R24+R25)&gt;=R30,1,0))),0)</f>
        <v>0</v>
      </c>
      <c r="S31" s="25">
        <f>IF(SUM($D31:R31)=0,(IF($D$24+$D$25&gt;$E$30, IF((S24+S25)&lt;=S30,1,0),IF((S24+S25)&gt;=S30,1,0))),0)</f>
        <v>0</v>
      </c>
      <c r="T31" s="25">
        <f>IF(SUM($D31:S31)=0,(IF($D$24+$D$25&gt;$E$30, IF((T24+T25)&lt;=T30,1,0),IF((T24+T25)&gt;=T30,1,0))),0)</f>
        <v>0</v>
      </c>
      <c r="U31" s="25">
        <f>IF(SUM($D31:T31)=0,(IF($D$24+$D$25&gt;$E$30, IF((U24+U25)&lt;=U30,1,0),IF((U24+U25)&gt;=U30,1,0))),0)</f>
        <v>0</v>
      </c>
      <c r="V31" s="25">
        <f>IF(SUM($D31:U31)=0,(IF($D$24+$D$25&gt;$E$30, IF((V24+V25)&lt;=V30,1,0),IF((V24+V25)&gt;=V30,1,0))),0)</f>
        <v>0</v>
      </c>
      <c r="W31" s="25">
        <f>IF(SUM($D31:V31)=0,(IF($D$24+$D$25&gt;$E$30, IF((W24+W25)&lt;=W30,1,0),IF((W24+W25)&gt;=W30,1,0))),0)</f>
        <v>0</v>
      </c>
      <c r="X31" s="25">
        <f>IF(SUM($D31:W31)=0,(IF($D$24+$D$25&gt;$E$30, IF((X24+X25)&lt;=X30,1,0),IF((X24+X25)&gt;=X30,1,0))),0)</f>
        <v>0</v>
      </c>
    </row>
    <row r="32" spans="1:25" ht="18">
      <c r="A32" s="5" t="s">
        <v>63</v>
      </c>
      <c r="B32" s="64" t="s">
        <v>71</v>
      </c>
      <c r="C32" s="26" t="s">
        <v>61</v>
      </c>
      <c r="D32" s="12"/>
      <c r="E32" s="12">
        <f>IF(E31=1,E30-(D24+D25+SUM($D27:D27)-SUM($D29:D29)),IF(SUM($D31:D31)=1,0,((E24-D24)+(E25-D25)+E27-E29)))</f>
        <v>-4955.1093280000005</v>
      </c>
      <c r="F32" s="12">
        <f>IF(F31=1,F30-(E24+E25+SUM($D27:E27)-SUM($D29:E29)),IF(SUM($D31:E31)=1,0,((F24-E24)+(F25-E25)+F27-F29)))</f>
        <v>-1043.4339200000031</v>
      </c>
      <c r="G32" s="12">
        <f>IF(G31=1,G30-(F24+F25+SUM($D27:F27)-SUM($D29:F29)),IF(SUM($D31:F31)=1,0,((G24-F24)+(G25-F25)+G27-G29)))</f>
        <v>0</v>
      </c>
      <c r="H32" s="12">
        <f>IF(H31=1,H30-(G24+G25+SUM($D27:G27)-SUM($D29:G29)),IF(SUM($D31:G31)=1,0,((H24-G24)+(H25-G25)+H27-H29)))</f>
        <v>0</v>
      </c>
      <c r="I32" s="12">
        <f>IF(I31=1,I30-(H24+H25+SUM($D27:H27)-SUM($D29:H29)),IF(SUM($D31:H31)=1,0,((I24-H24)+(I25-H25)+I27-I29)))</f>
        <v>0</v>
      </c>
      <c r="J32" s="12">
        <f>IF(J31=1,J30-(I24+I25+SUM($D27:I27)-SUM($D29:I29)),IF(SUM($D31:I31)=1,0,((J24-I24)+(J25-I25)+J27-J29)))</f>
        <v>0</v>
      </c>
      <c r="K32" s="12">
        <f>IF(K31=1,K30-(J24+J25+SUM($D27:J27)-SUM($D29:J29)),IF(SUM($D31:J31)=1,0,((K24-J24)+(K25-J25)+K27-K29)))</f>
        <v>0</v>
      </c>
      <c r="L32" s="12">
        <f>IF(L31=1,L30-(K24+K25+SUM($D27:K27)-SUM($D29:K29)),IF(SUM($D31:K31)=1,0,((L24-K24)+(L25-K25)+L27-L29)))</f>
        <v>0</v>
      </c>
      <c r="M32" s="12">
        <f>IF(M31=1,M30-(L24+L25+SUM($D27:L27)-SUM($D29:L29)),IF(SUM($D31:L31)=1,0,((M24-L24)+(M25-L25)+M27-M29)))</f>
        <v>0</v>
      </c>
      <c r="N32" s="12">
        <f>IF(N31=1,N30-(M24+M25+SUM($D27:M27)-SUM($D29:M29)),IF(SUM($D31:M31)=1,0,((N24-M24)+(N25-M25)+N27-N29)))</f>
        <v>0</v>
      </c>
      <c r="O32" s="12">
        <f>IF(O31=1,O30-(N24+N25+SUM($D27:N27)-SUM($D29:N29)),IF(SUM($D31:N31)=1,0,((O24-N24)+(O25-N25)+O27-O29)))</f>
        <v>0</v>
      </c>
      <c r="P32" s="12">
        <f>IF(P31=1,P30-(O24+O25+SUM($D27:O27)-SUM($D29:O29)),IF(SUM($D31:O31)=1,0,((P24-O24)+(P25-O25)+P27-P29)))</f>
        <v>0</v>
      </c>
      <c r="Q32" s="12">
        <f>IF(Q31=1,Q30-(P24+P25+SUM($D27:P27)-SUM($D29:P29)),IF(SUM($D31:P31)=1,0,((Q24-P24)+(Q25-P25)+Q27-Q29)))</f>
        <v>0</v>
      </c>
      <c r="R32" s="12">
        <f>IF(R31=1,R30-(Q24+Q25+SUM($D27:Q27)-SUM($D29:Q29)),IF(SUM($D31:Q31)=1,0,((R24-Q24)+(R25-Q25)+R27-R29)))</f>
        <v>0</v>
      </c>
      <c r="S32" s="12">
        <f>IF(S31=1,S30-(R24+R25+SUM($D27:R27)-SUM($D29:R29)),IF(SUM($D31:R31)=1,0,((S24-R24)+(S25-R25)+S27-S29)))</f>
        <v>0</v>
      </c>
      <c r="T32" s="12">
        <f>IF(T31=1,T30-(S24+S25+SUM($D27:S27)-SUM($D29:S29)),IF(SUM($D31:S31)=1,0,((T24-S24)+(T25-S25)+T27-T29)))</f>
        <v>0</v>
      </c>
      <c r="U32" s="12">
        <f>IF(U31=1,U30-(T24+T25+SUM($D27:T27)-SUM($D29:T29)),IF(SUM($D31:T31)=1,0,((U24-T24)+(U25-T25)+U27-U29)))</f>
        <v>0</v>
      </c>
      <c r="V32" s="12">
        <f>IF(V31=1,V30-(U24+U25+SUM($D27:U27)-SUM($D29:U29)),IF(SUM($D31:U31)=1,0,((V24-U24)+(V25-U25)+V27-V29)))</f>
        <v>0</v>
      </c>
      <c r="W32" s="12">
        <f>IF(W31=1,W30-(V24+V25+SUM($D27:V27)-SUM($D29:V29)),IF(SUM($D31:V31)=1,0,((W24-V24)+(W25-V25)+W27-W29)))</f>
        <v>0</v>
      </c>
      <c r="X32" s="12">
        <f>IF(X31=1,X30-(W24+W25+SUM($D27:W27)-SUM($D29:W29)),IF(SUM($D31:W31)=1,0,((X24-W24)+(X25-W25)+X27-X29)))</f>
        <v>0</v>
      </c>
    </row>
    <row r="33" spans="1:45">
      <c r="A33" s="5"/>
      <c r="B33" s="63"/>
      <c r="C33" s="35" t="s">
        <v>6</v>
      </c>
      <c r="D33" s="36"/>
      <c r="E33" s="36"/>
      <c r="F33" s="36"/>
      <c r="G33" s="36"/>
      <c r="H33" s="36"/>
      <c r="I33" s="38"/>
      <c r="J33" s="36"/>
      <c r="K33" s="36"/>
      <c r="L33" s="36"/>
      <c r="M33" s="36"/>
      <c r="N33" s="36"/>
      <c r="O33" s="36"/>
      <c r="P33" s="36"/>
      <c r="Q33" s="36"/>
      <c r="R33" s="36"/>
      <c r="S33" s="38"/>
      <c r="T33" s="36"/>
      <c r="U33" s="36"/>
      <c r="V33" s="36"/>
      <c r="W33" s="36"/>
      <c r="X33" s="36"/>
    </row>
    <row r="34" spans="1:45" ht="18">
      <c r="A34" s="5">
        <v>14</v>
      </c>
      <c r="B34" s="64" t="s">
        <v>72</v>
      </c>
      <c r="C34" s="37" t="s">
        <v>22</v>
      </c>
      <c r="D34" s="39">
        <v>17434.411200000002</v>
      </c>
      <c r="E34" s="39">
        <v>18185.164799999999</v>
      </c>
      <c r="F34" s="39">
        <v>18908.438399999999</v>
      </c>
      <c r="G34" s="39">
        <v>17862</v>
      </c>
      <c r="H34" s="39">
        <v>18810.243200000004</v>
      </c>
      <c r="I34" s="39">
        <v>19580.049599999998</v>
      </c>
      <c r="J34" s="39">
        <v>20250.195200000002</v>
      </c>
      <c r="K34" s="39">
        <v>21084.8544</v>
      </c>
      <c r="L34" s="39">
        <v>21772.220799999999</v>
      </c>
      <c r="M34" s="39">
        <v>22376.7808</v>
      </c>
      <c r="N34" s="39">
        <v>22975.844799999999</v>
      </c>
      <c r="O34" s="39">
        <v>23555.489600000001</v>
      </c>
      <c r="P34" s="39">
        <v>24092.632000000001</v>
      </c>
      <c r="Q34" s="39">
        <v>22280.784000000003</v>
      </c>
      <c r="R34" s="39">
        <v>22798.873599999999</v>
      </c>
      <c r="S34" s="39">
        <v>23272.262400000003</v>
      </c>
      <c r="T34" s="39">
        <v>23750.048000000003</v>
      </c>
      <c r="U34" s="39">
        <v>24208.048000000003</v>
      </c>
      <c r="V34" s="39">
        <v>24652.857599999999</v>
      </c>
      <c r="W34" s="39">
        <v>22252.2048</v>
      </c>
      <c r="X34" s="39">
        <v>22697.380799999999</v>
      </c>
      <c r="Z34" s="1"/>
    </row>
    <row r="35" spans="1:45" ht="18">
      <c r="A35" s="5">
        <v>15</v>
      </c>
      <c r="B35" s="64" t="s">
        <v>73</v>
      </c>
      <c r="C35" s="37" t="s">
        <v>23</v>
      </c>
      <c r="D35" s="39">
        <v>1324.5360000000003</v>
      </c>
      <c r="E35" s="39">
        <v>1411.0064000000002</v>
      </c>
      <c r="F35" s="39">
        <v>1496.0112000000001</v>
      </c>
      <c r="G35" s="39">
        <v>1387.5568000000001</v>
      </c>
      <c r="H35" s="39">
        <v>1454.2416000000001</v>
      </c>
      <c r="I35" s="39">
        <v>1540.3455999999999</v>
      </c>
      <c r="J35" s="39">
        <v>1627.1824000000001</v>
      </c>
      <c r="K35" s="39">
        <v>1712.9200000000003</v>
      </c>
      <c r="L35" s="39">
        <v>1810.0160000000001</v>
      </c>
      <c r="M35" s="39">
        <v>1897.2192</v>
      </c>
      <c r="N35" s="39">
        <v>1974.1632</v>
      </c>
      <c r="O35" s="39">
        <v>2063.5647999999997</v>
      </c>
      <c r="P35" s="39">
        <v>2162.4774280811343</v>
      </c>
      <c r="Q35" s="39">
        <v>1990.6837531391968</v>
      </c>
      <c r="R35" s="39">
        <v>2073.17167819726</v>
      </c>
      <c r="S35" s="39">
        <v>2160.056403255322</v>
      </c>
      <c r="T35" s="39">
        <v>2229.7203283133854</v>
      </c>
      <c r="U35" s="39">
        <v>2308.1778533714478</v>
      </c>
      <c r="V35" s="39">
        <v>2387.0017784295101</v>
      </c>
      <c r="W35" s="39">
        <v>2149.256103487573</v>
      </c>
      <c r="X35" s="39">
        <v>2216.7216285456357</v>
      </c>
      <c r="Z35" s="1"/>
    </row>
    <row r="36" spans="1:45" ht="18">
      <c r="A36" s="5">
        <v>17</v>
      </c>
      <c r="B36" s="64" t="s">
        <v>74</v>
      </c>
      <c r="C36" s="37" t="s">
        <v>2</v>
      </c>
      <c r="D36" s="39"/>
      <c r="E36" s="39">
        <v>0</v>
      </c>
      <c r="F36" s="39">
        <v>0</v>
      </c>
      <c r="G36" s="39">
        <v>272.60160000000002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363.46880000000004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454.33600000000001</v>
      </c>
      <c r="X36" s="39">
        <v>0</v>
      </c>
      <c r="Z36" s="1"/>
    </row>
    <row r="37" spans="1:45">
      <c r="A37" s="5">
        <v>16</v>
      </c>
      <c r="B37" s="65" t="s">
        <v>75</v>
      </c>
      <c r="C37" s="37" t="s">
        <v>57</v>
      </c>
      <c r="D37" s="39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Z37" s="1"/>
    </row>
    <row r="38" spans="1:45" ht="18">
      <c r="A38" s="5">
        <v>17</v>
      </c>
      <c r="B38" s="66" t="s">
        <v>76</v>
      </c>
      <c r="C38" s="40" t="s">
        <v>62</v>
      </c>
      <c r="D38" s="41"/>
      <c r="E38" s="41">
        <f t="shared" ref="E38:X38" si="4">(E34-D34)+(E35-D35)+E36-E37</f>
        <v>837.22399999999629</v>
      </c>
      <c r="F38" s="41">
        <f t="shared" si="4"/>
        <v>808.27840000000037</v>
      </c>
      <c r="G38" s="41">
        <f t="shared" si="4"/>
        <v>-882.29119999999921</v>
      </c>
      <c r="H38" s="41">
        <f t="shared" si="4"/>
        <v>1014.9280000000044</v>
      </c>
      <c r="I38" s="41">
        <f t="shared" si="4"/>
        <v>855.91039999999384</v>
      </c>
      <c r="J38" s="41">
        <f t="shared" si="4"/>
        <v>756.98240000000374</v>
      </c>
      <c r="K38" s="41">
        <f t="shared" si="4"/>
        <v>920.39679999999839</v>
      </c>
      <c r="L38" s="41">
        <f t="shared" si="4"/>
        <v>784.46239999999875</v>
      </c>
      <c r="M38" s="41">
        <f t="shared" si="4"/>
        <v>691.76320000000123</v>
      </c>
      <c r="N38" s="41">
        <f t="shared" si="4"/>
        <v>676.00799999999845</v>
      </c>
      <c r="O38" s="41">
        <f t="shared" si="4"/>
        <v>669.04640000000154</v>
      </c>
      <c r="P38" s="41">
        <f t="shared" si="4"/>
        <v>636.05502808113533</v>
      </c>
      <c r="Q38" s="41">
        <f>(Q34-P34)+(Q35-P35)+Q36-Q37</f>
        <v>-1620.1728749419356</v>
      </c>
      <c r="R38" s="41">
        <f t="shared" si="4"/>
        <v>600.57752505805888</v>
      </c>
      <c r="S38" s="41">
        <f t="shared" si="4"/>
        <v>560.2735250580663</v>
      </c>
      <c r="T38" s="41">
        <f t="shared" si="4"/>
        <v>547.44952505806259</v>
      </c>
      <c r="U38" s="41">
        <f t="shared" si="4"/>
        <v>536.4575250580624</v>
      </c>
      <c r="V38" s="41">
        <f t="shared" si="4"/>
        <v>523.63352505805915</v>
      </c>
      <c r="W38" s="41">
        <f t="shared" si="4"/>
        <v>-2184.0624749419367</v>
      </c>
      <c r="X38" s="41">
        <f t="shared" si="4"/>
        <v>512.64152505806214</v>
      </c>
      <c r="Z38" s="1"/>
    </row>
    <row r="39" spans="1:45">
      <c r="A39" s="5"/>
      <c r="B39" s="66"/>
      <c r="C39" s="30" t="s">
        <v>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45" ht="18">
      <c r="A40" s="5">
        <v>13</v>
      </c>
      <c r="B40" s="66" t="s">
        <v>77</v>
      </c>
      <c r="C40" s="32" t="s">
        <v>58</v>
      </c>
      <c r="D40" s="33">
        <f>SQRT(($D$24*$E$13)^2+($D$25*$E$14)^2+($E$27*$E$13)^2+($E$29*$E$13)^2)/SUM($D$24:$D$25, $E$27, $E$29)</f>
        <v>4.9339510394731521E-2</v>
      </c>
      <c r="E40" s="33">
        <f t="shared" ref="E40:X40" si="5">SQRT(($D$24*$E$13)^2+($D$25*$E$14)^2+($E$27*$E$13)^2+($E$29*$E$13)^2)/SUM($D$24:$D$25, $E$27, $E$29)</f>
        <v>4.9339510394731521E-2</v>
      </c>
      <c r="F40" s="33">
        <f t="shared" si="5"/>
        <v>4.9339510394731521E-2</v>
      </c>
      <c r="G40" s="33">
        <f t="shared" si="5"/>
        <v>4.9339510394731521E-2</v>
      </c>
      <c r="H40" s="33">
        <f t="shared" si="5"/>
        <v>4.9339510394731521E-2</v>
      </c>
      <c r="I40" s="33">
        <f t="shared" si="5"/>
        <v>4.9339510394731521E-2</v>
      </c>
      <c r="J40" s="33">
        <f t="shared" si="5"/>
        <v>4.9339510394731521E-2</v>
      </c>
      <c r="K40" s="33">
        <f t="shared" si="5"/>
        <v>4.9339510394731521E-2</v>
      </c>
      <c r="L40" s="33">
        <f t="shared" si="5"/>
        <v>4.9339510394731521E-2</v>
      </c>
      <c r="M40" s="33">
        <f t="shared" si="5"/>
        <v>4.9339510394731521E-2</v>
      </c>
      <c r="N40" s="33">
        <f t="shared" si="5"/>
        <v>4.9339510394731521E-2</v>
      </c>
      <c r="O40" s="33">
        <f t="shared" si="5"/>
        <v>4.9339510394731521E-2</v>
      </c>
      <c r="P40" s="33">
        <f t="shared" si="5"/>
        <v>4.9339510394731521E-2</v>
      </c>
      <c r="Q40" s="33">
        <f t="shared" si="5"/>
        <v>4.9339510394731521E-2</v>
      </c>
      <c r="R40" s="33">
        <f t="shared" si="5"/>
        <v>4.9339510394731521E-2</v>
      </c>
      <c r="S40" s="33">
        <f t="shared" si="5"/>
        <v>4.9339510394731521E-2</v>
      </c>
      <c r="T40" s="33">
        <f t="shared" si="5"/>
        <v>4.9339510394731521E-2</v>
      </c>
      <c r="U40" s="33">
        <f t="shared" si="5"/>
        <v>4.9339510394731521E-2</v>
      </c>
      <c r="V40" s="33">
        <f t="shared" si="5"/>
        <v>4.9339510394731521E-2</v>
      </c>
      <c r="W40" s="33">
        <f t="shared" si="5"/>
        <v>4.9339510394731521E-2</v>
      </c>
      <c r="X40" s="33">
        <f t="shared" si="5"/>
        <v>4.9339510394731521E-2</v>
      </c>
    </row>
    <row r="41" spans="1:45" ht="18">
      <c r="A41" s="5">
        <v>21</v>
      </c>
      <c r="B41" s="66" t="s">
        <v>78</v>
      </c>
      <c r="C41" s="32" t="s">
        <v>59</v>
      </c>
      <c r="D41" s="33">
        <f>SQRT((D$34*$E$13)^2+(D$35*$E$14)^2+(D$36*$E$13)^2+(D$37*$E$13)^2)/SUM(D$34:D$37)</f>
        <v>4.9709332889509635E-2</v>
      </c>
      <c r="E41" s="33">
        <f t="shared" ref="E41:X41" si="6">SQRT((E$34*$E$13)^2+(E$35*$E$14)^2+(E$36*$E$13)^2+(E$37*$E$13)^2)/SUM(E$34:E$37)</f>
        <v>4.9769250164091755E-2</v>
      </c>
      <c r="F41" s="33">
        <f t="shared" si="6"/>
        <v>4.9827892756458624E-2</v>
      </c>
      <c r="G41" s="33">
        <f t="shared" si="6"/>
        <v>4.9082641152024965E-2</v>
      </c>
      <c r="H41" s="33">
        <f t="shared" si="6"/>
        <v>4.9758724111690959E-2</v>
      </c>
      <c r="I41" s="33">
        <f t="shared" si="6"/>
        <v>4.981042543537758E-2</v>
      </c>
      <c r="J41" s="33">
        <f t="shared" si="6"/>
        <v>4.9876776481543171E-2</v>
      </c>
      <c r="K41" s="33">
        <f t="shared" si="6"/>
        <v>4.9912617271081983E-2</v>
      </c>
      <c r="L41" s="33">
        <f t="shared" si="6"/>
        <v>4.9991532347795825E-2</v>
      </c>
      <c r="M41" s="33">
        <f t="shared" si="6"/>
        <v>5.0062723400363503E-2</v>
      </c>
      <c r="N41" s="33">
        <f t="shared" si="6"/>
        <v>5.0113106625053999E-2</v>
      </c>
      <c r="O41" s="33">
        <f t="shared" si="6"/>
        <v>5.0189430932771693E-2</v>
      </c>
      <c r="P41" s="33">
        <f t="shared" si="6"/>
        <v>5.0290448387266026E-2</v>
      </c>
      <c r="Q41" s="33">
        <f t="shared" si="6"/>
        <v>4.9534641244160078E-2</v>
      </c>
      <c r="R41" s="33">
        <f t="shared" si="6"/>
        <v>5.0347192631918967E-2</v>
      </c>
      <c r="S41" s="33">
        <f t="shared" si="6"/>
        <v>5.0440292367208761E-2</v>
      </c>
      <c r="T41" s="33">
        <f t="shared" si="6"/>
        <v>5.049417868700256E-2</v>
      </c>
      <c r="U41" s="33">
        <f t="shared" si="6"/>
        <v>5.0569619967415262E-2</v>
      </c>
      <c r="V41" s="33">
        <f t="shared" si="6"/>
        <v>5.0647308440075207E-2</v>
      </c>
      <c r="W41" s="33">
        <f t="shared" si="6"/>
        <v>4.9717519659238103E-2</v>
      </c>
      <c r="X41" s="33">
        <f t="shared" si="6"/>
        <v>5.0692188624097759E-2</v>
      </c>
    </row>
    <row r="42" spans="1:45" ht="18">
      <c r="A42" s="5">
        <v>22</v>
      </c>
      <c r="B42" s="66" t="s">
        <v>79</v>
      </c>
      <c r="C42" s="32" t="s">
        <v>60</v>
      </c>
      <c r="D42" s="34"/>
      <c r="E42" s="33">
        <f>SQRT((ABS(E$32)*E$40)^2+(ABS(E$38)*E$41)^2)/(ABS(E$32)+ABS(E$38))</f>
        <v>4.2816607166631666E-2</v>
      </c>
      <c r="F42" s="33">
        <f t="shared" ref="F42:X42" si="7">SQRT((ABS(F$32)*F$40)^2+(ABS(F$38)*F$41)^2)/(ABS(F$32)+ABS(F$38))</f>
        <v>3.5299457291895694E-2</v>
      </c>
      <c r="G42" s="33">
        <f t="shared" si="7"/>
        <v>4.9082641152024965E-2</v>
      </c>
      <c r="H42" s="33">
        <f t="shared" si="7"/>
        <v>4.9758724111690959E-2</v>
      </c>
      <c r="I42" s="33">
        <f t="shared" si="7"/>
        <v>4.981042543537758E-2</v>
      </c>
      <c r="J42" s="33">
        <f t="shared" si="7"/>
        <v>4.9876776481543171E-2</v>
      </c>
      <c r="K42" s="33">
        <f t="shared" si="7"/>
        <v>4.9912617271081983E-2</v>
      </c>
      <c r="L42" s="33">
        <f t="shared" si="7"/>
        <v>4.9991532347795825E-2</v>
      </c>
      <c r="M42" s="33">
        <f t="shared" si="7"/>
        <v>5.0062723400363503E-2</v>
      </c>
      <c r="N42" s="33">
        <f t="shared" si="7"/>
        <v>5.0113106625053999E-2</v>
      </c>
      <c r="O42" s="33">
        <f t="shared" si="7"/>
        <v>5.0189430932771693E-2</v>
      </c>
      <c r="P42" s="33">
        <f t="shared" si="7"/>
        <v>5.0290448387266026E-2</v>
      </c>
      <c r="Q42" s="33">
        <f t="shared" si="7"/>
        <v>4.9534641244160078E-2</v>
      </c>
      <c r="R42" s="33">
        <f t="shared" si="7"/>
        <v>5.0347192631918967E-2</v>
      </c>
      <c r="S42" s="33">
        <f t="shared" si="7"/>
        <v>5.0440292367208761E-2</v>
      </c>
      <c r="T42" s="33">
        <f t="shared" si="7"/>
        <v>5.049417868700256E-2</v>
      </c>
      <c r="U42" s="33">
        <f t="shared" si="7"/>
        <v>5.0569619967415262E-2</v>
      </c>
      <c r="V42" s="33">
        <f t="shared" si="7"/>
        <v>5.0647308440075207E-2</v>
      </c>
      <c r="W42" s="33">
        <f t="shared" si="7"/>
        <v>4.9717519659238103E-2</v>
      </c>
      <c r="X42" s="33">
        <f t="shared" si="7"/>
        <v>5.0692188624097759E-2</v>
      </c>
    </row>
    <row r="43" spans="1:45">
      <c r="A43" s="3"/>
      <c r="B43" s="63"/>
      <c r="C43" s="27" t="s">
        <v>34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</row>
    <row r="44" spans="1:45" ht="18">
      <c r="A44" s="5">
        <v>24</v>
      </c>
      <c r="B44" s="63" t="s">
        <v>80</v>
      </c>
      <c r="C44" s="29" t="s">
        <v>96</v>
      </c>
      <c r="D44" s="43"/>
      <c r="E44" s="46">
        <f>ROUNDDOWN((E$38-E$32)*(1-$E$15)*(1-IF(E$42&lt;10%,0,E$42)),0)</f>
        <v>3475</v>
      </c>
      <c r="F44" s="46">
        <f t="shared" ref="F44:X44" si="8">ROUNDDOWN((F$38-F$32)*(1-$E$15)*(1-IF(F$42&lt;10%,0,F$42)),0)</f>
        <v>1111</v>
      </c>
      <c r="G44" s="46">
        <f t="shared" si="8"/>
        <v>-529</v>
      </c>
      <c r="H44" s="46">
        <f t="shared" si="8"/>
        <v>608</v>
      </c>
      <c r="I44" s="46">
        <f t="shared" si="8"/>
        <v>513</v>
      </c>
      <c r="J44" s="46">
        <f t="shared" si="8"/>
        <v>454</v>
      </c>
      <c r="K44" s="46">
        <f t="shared" si="8"/>
        <v>552</v>
      </c>
      <c r="L44" s="46">
        <f t="shared" si="8"/>
        <v>470</v>
      </c>
      <c r="M44" s="46">
        <f t="shared" si="8"/>
        <v>415</v>
      </c>
      <c r="N44" s="46">
        <f t="shared" si="8"/>
        <v>405</v>
      </c>
      <c r="O44" s="46">
        <f t="shared" si="8"/>
        <v>401</v>
      </c>
      <c r="P44" s="46">
        <f t="shared" si="8"/>
        <v>381</v>
      </c>
      <c r="Q44" s="46">
        <f t="shared" si="8"/>
        <v>-972</v>
      </c>
      <c r="R44" s="46">
        <f t="shared" si="8"/>
        <v>360</v>
      </c>
      <c r="S44" s="46">
        <f t="shared" si="8"/>
        <v>336</v>
      </c>
      <c r="T44" s="46">
        <f t="shared" si="8"/>
        <v>328</v>
      </c>
      <c r="U44" s="46">
        <f t="shared" si="8"/>
        <v>321</v>
      </c>
      <c r="V44" s="46">
        <f t="shared" si="8"/>
        <v>314</v>
      </c>
      <c r="W44" s="46">
        <f t="shared" si="8"/>
        <v>-1310</v>
      </c>
      <c r="X44" s="46">
        <f t="shared" si="8"/>
        <v>307</v>
      </c>
      <c r="Y44" s="61"/>
    </row>
    <row r="45" spans="1:45" ht="18">
      <c r="A45" s="5">
        <v>24</v>
      </c>
      <c r="B45" s="63" t="s">
        <v>81</v>
      </c>
      <c r="C45" s="29" t="s">
        <v>97</v>
      </c>
      <c r="D45" s="43"/>
      <c r="E45" s="46">
        <f>IF(E44&lt;0,0,IF(E44+D58&lt;0,0,E44+D58))</f>
        <v>3475</v>
      </c>
      <c r="F45" s="46">
        <f>IF(F44&lt;0,0,IF(F44+E58&lt;0,0,F44+E58))</f>
        <v>1111</v>
      </c>
      <c r="G45" s="46">
        <f>IF(G44&lt;0,0,IF(G44+F58&lt;0,0,G44+F58))</f>
        <v>0</v>
      </c>
      <c r="H45" s="46">
        <f>IF(H44&lt;0,0,IF(H44+G58&lt;0,0,H44+G58))</f>
        <v>608</v>
      </c>
      <c r="I45" s="46">
        <f>IF(I44&lt;0,0,IF(I44+H58&lt;0,0,I44+H58))</f>
        <v>513</v>
      </c>
      <c r="J45" s="46">
        <f t="shared" ref="J45:X45" si="9">IF(J44&lt;0,0,IF(J44+I58&lt;0,0,J44+I58))</f>
        <v>454</v>
      </c>
      <c r="K45" s="46">
        <f t="shared" si="9"/>
        <v>552</v>
      </c>
      <c r="L45" s="46">
        <f t="shared" si="9"/>
        <v>470</v>
      </c>
      <c r="M45" s="46">
        <f t="shared" si="9"/>
        <v>415</v>
      </c>
      <c r="N45" s="46">
        <f t="shared" si="9"/>
        <v>405</v>
      </c>
      <c r="O45" s="46">
        <f t="shared" si="9"/>
        <v>401</v>
      </c>
      <c r="P45" s="46">
        <f t="shared" si="9"/>
        <v>381</v>
      </c>
      <c r="Q45" s="46">
        <f t="shared" si="9"/>
        <v>0</v>
      </c>
      <c r="R45" s="46">
        <f t="shared" si="9"/>
        <v>360</v>
      </c>
      <c r="S45" s="46">
        <f t="shared" si="9"/>
        <v>336</v>
      </c>
      <c r="T45" s="46">
        <f t="shared" si="9"/>
        <v>328</v>
      </c>
      <c r="U45" s="46">
        <f t="shared" si="9"/>
        <v>321</v>
      </c>
      <c r="V45" s="46">
        <f t="shared" si="9"/>
        <v>314</v>
      </c>
      <c r="W45" s="46">
        <f t="shared" si="9"/>
        <v>0</v>
      </c>
      <c r="X45" s="46">
        <f t="shared" si="9"/>
        <v>307</v>
      </c>
      <c r="Y45" s="61"/>
    </row>
    <row r="46" spans="1:45" ht="18">
      <c r="A46" s="5">
        <v>25</v>
      </c>
      <c r="B46" s="63" t="s">
        <v>83</v>
      </c>
      <c r="C46" s="42" t="s">
        <v>98</v>
      </c>
      <c r="D46" s="43"/>
      <c r="E46" s="46">
        <f>ROUNDUP(E45*$E$16,0)</f>
        <v>626</v>
      </c>
      <c r="F46" s="46">
        <f t="shared" ref="F46:X46" si="10">ROUNDUP(F45*$E$16,0)</f>
        <v>200</v>
      </c>
      <c r="G46" s="46">
        <f t="shared" si="10"/>
        <v>0</v>
      </c>
      <c r="H46" s="46">
        <f t="shared" si="10"/>
        <v>110</v>
      </c>
      <c r="I46" s="46">
        <f t="shared" si="10"/>
        <v>93</v>
      </c>
      <c r="J46" s="46">
        <f t="shared" si="10"/>
        <v>82</v>
      </c>
      <c r="K46" s="46">
        <f t="shared" si="10"/>
        <v>100</v>
      </c>
      <c r="L46" s="46">
        <f t="shared" si="10"/>
        <v>85</v>
      </c>
      <c r="M46" s="46">
        <f t="shared" si="10"/>
        <v>75</v>
      </c>
      <c r="N46" s="46">
        <f t="shared" si="10"/>
        <v>73</v>
      </c>
      <c r="O46" s="46">
        <f t="shared" si="10"/>
        <v>73</v>
      </c>
      <c r="P46" s="46">
        <f t="shared" si="10"/>
        <v>69</v>
      </c>
      <c r="Q46" s="46">
        <f t="shared" si="10"/>
        <v>0</v>
      </c>
      <c r="R46" s="46">
        <f t="shared" si="10"/>
        <v>65</v>
      </c>
      <c r="S46" s="46">
        <f t="shared" si="10"/>
        <v>61</v>
      </c>
      <c r="T46" s="46">
        <f t="shared" si="10"/>
        <v>60</v>
      </c>
      <c r="U46" s="46">
        <f t="shared" si="10"/>
        <v>58</v>
      </c>
      <c r="V46" s="46">
        <f t="shared" si="10"/>
        <v>57</v>
      </c>
      <c r="W46" s="46">
        <f t="shared" si="10"/>
        <v>0</v>
      </c>
      <c r="X46" s="46">
        <f t="shared" si="10"/>
        <v>56</v>
      </c>
      <c r="Y46" s="61"/>
    </row>
    <row r="47" spans="1:45" ht="18">
      <c r="A47" s="5">
        <v>26</v>
      </c>
      <c r="B47" s="63" t="s">
        <v>84</v>
      </c>
      <c r="C47" s="42" t="s">
        <v>99</v>
      </c>
      <c r="D47" s="42"/>
      <c r="E47" s="47">
        <f>E45-E46</f>
        <v>2849</v>
      </c>
      <c r="F47" s="47">
        <f t="shared" ref="F47:X47" si="11">F45-F46</f>
        <v>911</v>
      </c>
      <c r="G47" s="47">
        <f t="shared" si="11"/>
        <v>0</v>
      </c>
      <c r="H47" s="47">
        <f t="shared" si="11"/>
        <v>498</v>
      </c>
      <c r="I47" s="47">
        <f t="shared" si="11"/>
        <v>420</v>
      </c>
      <c r="J47" s="47">
        <f t="shared" si="11"/>
        <v>372</v>
      </c>
      <c r="K47" s="47">
        <f t="shared" si="11"/>
        <v>452</v>
      </c>
      <c r="L47" s="47">
        <f t="shared" si="11"/>
        <v>385</v>
      </c>
      <c r="M47" s="47">
        <f t="shared" si="11"/>
        <v>340</v>
      </c>
      <c r="N47" s="47">
        <f t="shared" si="11"/>
        <v>332</v>
      </c>
      <c r="O47" s="47">
        <f t="shared" si="11"/>
        <v>328</v>
      </c>
      <c r="P47" s="47">
        <f t="shared" si="11"/>
        <v>312</v>
      </c>
      <c r="Q47" s="47">
        <f t="shared" si="11"/>
        <v>0</v>
      </c>
      <c r="R47" s="47">
        <f t="shared" si="11"/>
        <v>295</v>
      </c>
      <c r="S47" s="47">
        <f t="shared" si="11"/>
        <v>275</v>
      </c>
      <c r="T47" s="47">
        <f t="shared" si="11"/>
        <v>268</v>
      </c>
      <c r="U47" s="47">
        <f t="shared" si="11"/>
        <v>263</v>
      </c>
      <c r="V47" s="47">
        <f t="shared" si="11"/>
        <v>257</v>
      </c>
      <c r="W47" s="47">
        <f t="shared" si="11"/>
        <v>0</v>
      </c>
      <c r="X47" s="47">
        <f t="shared" si="11"/>
        <v>251</v>
      </c>
      <c r="Y47" s="61"/>
    </row>
    <row r="48" spans="1:45" s="11" customFormat="1" ht="18">
      <c r="A48" s="5">
        <v>27</v>
      </c>
      <c r="B48" s="63" t="s">
        <v>82</v>
      </c>
      <c r="C48" s="42" t="s">
        <v>100</v>
      </c>
      <c r="D48" s="42"/>
      <c r="E48" s="46">
        <f>ROUND(E$45*((DATE(YEAR(E$22),1,1)-DATE(YEAR(D$22),MONTH($E$17),DAY($E$17)))/(365+IF(MOD(YEAR(D$22),4),0,1))),0)</f>
        <v>2032</v>
      </c>
      <c r="F48" s="46">
        <f>ROUND(F$45*((DATE(YEAR(F$22),1,1)-DATE(YEAR(E$22),MONTH($E$17),DAY($E$17)))/(365+IF(MOD(YEAR(E$22),4),0,1))),0)</f>
        <v>651</v>
      </c>
      <c r="G48" s="46">
        <f>ROUND(G$45*((DATE(YEAR(G$22),1,1)-DATE(YEAR(F$22),MONTH($E$17),DAY($E$17)))/(365+IF(MOD(YEAR(F$22),4),0,1))),0)</f>
        <v>0</v>
      </c>
      <c r="H48" s="46">
        <f>ROUND(H$45*((DATE(YEAR(H$22),1,1)-DATE(YEAR(G$22),MONTH($E$17),DAY($E$17)))/(365+IF(MOD(YEAR(G$22),4),0,1))),0)</f>
        <v>356</v>
      </c>
      <c r="I48" s="46">
        <f>ROUND(I$45*((DATE(YEAR(I$22),1,1)-DATE(YEAR(H$22),MONTH($E$17),DAY($E$17)))/(365+IF(MOD(YEAR(H$22),4),0,1))),0)</f>
        <v>300</v>
      </c>
      <c r="J48" s="46">
        <f>ROUND(J$45*((DATE(YEAR(J$22),1,1)-DATE(YEAR(I$22),MONTH($E$17),DAY($E$17)))/(365+IF(MOD(YEAR(I$22),4),0,1))),0)</f>
        <v>266</v>
      </c>
      <c r="K48" s="46">
        <f>ROUND(K$45*((DATE(YEAR(K$22),1,1)-DATE(YEAR(J$22),MONTH($E$17),DAY($E$17)))/(365+IF(MOD(YEAR(J$22),4),0,1))),0)</f>
        <v>324</v>
      </c>
      <c r="L48" s="46">
        <f>ROUND(L$45*((DATE(YEAR(L$22),1,1)-DATE(YEAR(K$22),MONTH($E$17),DAY($E$17)))/(365+IF(MOD(YEAR(K$22),4),0,1))),0)</f>
        <v>276</v>
      </c>
      <c r="M48" s="46">
        <f>ROUND(M$45*((DATE(YEAR(M$22),1,1)-DATE(YEAR(L$22),MONTH($E$17),DAY($E$17)))/(365+IF(MOD(YEAR(L$22),4),0,1))),0)</f>
        <v>243</v>
      </c>
      <c r="N48" s="46">
        <f>ROUND(N$45*((DATE(YEAR(N$22),1,1)-DATE(YEAR(M$22),MONTH($E$17),DAY($E$17)))/(365+IF(MOD(YEAR(M$22),4),0,1))),0)</f>
        <v>237</v>
      </c>
      <c r="O48" s="46">
        <f>ROUND(O$45*((DATE(YEAR(O$22),1,1)-DATE(YEAR(N$22),MONTH($E$17),DAY($E$17)))/(365+IF(MOD(YEAR(N$22),4),0,1))),0)</f>
        <v>235</v>
      </c>
      <c r="P48" s="46">
        <f>ROUND(P$45*((DATE(YEAR(P$22),1,1)-DATE(YEAR(O$22),MONTH($E$17),DAY($E$17)))/(365+IF(MOD(YEAR(O$22),4),0,1))),0)</f>
        <v>223</v>
      </c>
      <c r="Q48" s="46">
        <f>ROUND(Q$45*((DATE(YEAR(Q$22),1,1)-DATE(YEAR(P$22),MONTH($E$17),DAY($E$17)))/(365+IF(MOD(YEAR(P$22),4),0,1))),0)</f>
        <v>0</v>
      </c>
      <c r="R48" s="46">
        <f>ROUND(R$45*((DATE(YEAR(R$22),1,1)-DATE(YEAR(Q$22),MONTH($E$17),DAY($E$17)))/(365+IF(MOD(YEAR(Q$22),4),0,1))),0)</f>
        <v>211</v>
      </c>
      <c r="S48" s="46">
        <f>ROUND(S$45*((DATE(YEAR(S$22),1,1)-DATE(YEAR(R$22),MONTH($E$17),DAY($E$17)))/(365+IF(MOD(YEAR(R$22),4),0,1))),0)</f>
        <v>197</v>
      </c>
      <c r="T48" s="46">
        <f>ROUND(T$45*((DATE(YEAR(T$22),1,1)-DATE(YEAR(S$22),MONTH($E$17),DAY($E$17)))/(365+IF(MOD(YEAR(S$22),4),0,1))),0)</f>
        <v>192</v>
      </c>
      <c r="U48" s="46">
        <f>ROUND(U$45*((DATE(YEAR(U$22),1,1)-DATE(YEAR(T$22),MONTH($E$17),DAY($E$17)))/(365+IF(MOD(YEAR(T$22),4),0,1))),0)</f>
        <v>188</v>
      </c>
      <c r="V48" s="46">
        <f>ROUND(V$45*((DATE(YEAR(V$22),1,1)-DATE(YEAR(U$22),MONTH($E$17),DAY($E$17)))/(365+IF(MOD(YEAR(U$22),4),0,1))),0)</f>
        <v>184</v>
      </c>
      <c r="W48" s="46">
        <f>ROUND(W$45*((DATE(YEAR(W$22),1,1)-DATE(YEAR(V$22),MONTH($E$17),DAY($E$17)))/(365+IF(MOD(YEAR(V$22),4),0,1))),0)</f>
        <v>0</v>
      </c>
      <c r="X48" s="46">
        <f>ROUND(X$45*((DATE(YEAR(X$22),1,1)-DATE(YEAR(W$22),MONTH($E$17),DAY($E$17)))/(365+IF(MOD(YEAR(W$22),4),0,1))),0)</f>
        <v>180</v>
      </c>
      <c r="Y48" s="61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11" customFormat="1" ht="18">
      <c r="A49" s="5">
        <v>27</v>
      </c>
      <c r="B49" s="63" t="s">
        <v>82</v>
      </c>
      <c r="C49" s="42" t="s">
        <v>101</v>
      </c>
      <c r="D49" s="42"/>
      <c r="E49" s="46">
        <f>ROUND(E$45*((DATE(YEAR(D$22),MONTH($E$17),DAY($E$17))-(DATE(YEAR(D$22),1,1)))/(365+IF(MOD(YEAR(D$22),4),0,1))),0)</f>
        <v>1443</v>
      </c>
      <c r="F49" s="46">
        <f>ROUND(F$45*((DATE(YEAR(E$22),MONTH($E$17),DAY($E$17))-(DATE(YEAR(E$22),1,1)))/(365+IF(MOD(YEAR(E$22),4),0,1))),0)</f>
        <v>460</v>
      </c>
      <c r="G49" s="46">
        <f>ROUND(G$45*((DATE(YEAR(F$22),MONTH($E$17),DAY($E$17))-(DATE(YEAR(F$22),1,1)))/(365+IF(MOD(YEAR(F$22),4),0,1))),0)</f>
        <v>0</v>
      </c>
      <c r="H49" s="46">
        <f>ROUND(H$45*((DATE(YEAR(G$22),MONTH($E$17),DAY($E$17))-(DATE(YEAR(G$22),1,1)))/(365+IF(MOD(YEAR(G$22),4),0,1))),0)</f>
        <v>252</v>
      </c>
      <c r="I49" s="46">
        <f>ROUND(I$45*((DATE(YEAR(H$22),MONTH($E$17),DAY($E$17))-(DATE(YEAR(H$22),1,1)))/(365+IF(MOD(YEAR(H$22),4),0,1))),0)</f>
        <v>213</v>
      </c>
      <c r="J49" s="46">
        <f>ROUND(J$45*((DATE(YEAR(I$22),MONTH($E$17),DAY($E$17))-(DATE(YEAR(I$22),1,1)))/(365+IF(MOD(YEAR(I$22),4),0,1))),0)</f>
        <v>188</v>
      </c>
      <c r="K49" s="46">
        <f>ROUND(K$45*((DATE(YEAR(J$22),MONTH($E$17),DAY($E$17))-(DATE(YEAR(J$22),1,1)))/(365+IF(MOD(YEAR(J$22),4),0,1))),0)</f>
        <v>228</v>
      </c>
      <c r="L49" s="46">
        <f>ROUND(L$45*((DATE(YEAR(K$22),MONTH($E$17),DAY($E$17))-(DATE(YEAR(K$22),1,1)))/(365+IF(MOD(YEAR(K$22),4),0,1))),0)</f>
        <v>194</v>
      </c>
      <c r="M49" s="46">
        <f>ROUND(M$45*((DATE(YEAR(L$22),MONTH($E$17),DAY($E$17))-(DATE(YEAR(L$22),1,1)))/(365+IF(MOD(YEAR(L$22),4),0,1))),0)</f>
        <v>172</v>
      </c>
      <c r="N49" s="46">
        <f>ROUND(N$45*((DATE(YEAR(M$22),MONTH($E$17),DAY($E$17))-(DATE(YEAR(M$22),1,1)))/(365+IF(MOD(YEAR(M$22),4),0,1))),0)</f>
        <v>168</v>
      </c>
      <c r="O49" s="46">
        <f>ROUND(O$45*((DATE(YEAR(N$22),MONTH($E$17),DAY($E$17))-(DATE(YEAR(N$22),1,1)))/(365+IF(MOD(YEAR(N$22),4),0,1))),0)</f>
        <v>166</v>
      </c>
      <c r="P49" s="46">
        <f>ROUND(P$45*((DATE(YEAR(O$22),MONTH($E$17),DAY($E$17))-(DATE(YEAR(O$22),1,1)))/(365+IF(MOD(YEAR(O$22),4),0,1))),0)</f>
        <v>158</v>
      </c>
      <c r="Q49" s="46">
        <f>ROUND(Q$45*((DATE(YEAR(P$22),MONTH($E$17),DAY($E$17))-(DATE(YEAR(P$22),1,1)))/(365+IF(MOD(YEAR(P$22),4),0,1))),0)</f>
        <v>0</v>
      </c>
      <c r="R49" s="46">
        <f>ROUND(R$45*((DATE(YEAR(Q$22),MONTH($E$17),DAY($E$17))-(DATE(YEAR(Q$22),1,1)))/(365+IF(MOD(YEAR(Q$22),4),0,1))),0)</f>
        <v>149</v>
      </c>
      <c r="S49" s="46">
        <f>ROUND(S$45*((DATE(YEAR(R$22),MONTH($E$17),DAY($E$17))-(DATE(YEAR(R$22),1,1)))/(365+IF(MOD(YEAR(R$22),4),0,1))),0)</f>
        <v>139</v>
      </c>
      <c r="T49" s="46">
        <f>ROUND(T$45*((DATE(YEAR(S$22),MONTH($E$17),DAY($E$17))-(DATE(YEAR(S$22),1,1)))/(365+IF(MOD(YEAR(S$22),4),0,1))),0)</f>
        <v>136</v>
      </c>
      <c r="U49" s="46">
        <f>ROUND(U$45*((DATE(YEAR(T$22),MONTH($E$17),DAY($E$17))-(DATE(YEAR(T$22),1,1)))/(365+IF(MOD(YEAR(T$22),4),0,1))),0)</f>
        <v>133</v>
      </c>
      <c r="V49" s="46">
        <f>ROUND(V$45*((DATE(YEAR(U$22),MONTH($E$17),DAY($E$17))-(DATE(YEAR(U$22),1,1)))/(365+IF(MOD(YEAR(U$22),4),0,1))),0)</f>
        <v>130</v>
      </c>
      <c r="W49" s="46">
        <f>ROUND(W$45*((DATE(YEAR(V$22),MONTH($E$17),DAY($E$17))-(DATE(YEAR(V$22),1,1)))/(365+IF(MOD(YEAR(V$22),4),0,1))),0)</f>
        <v>0</v>
      </c>
      <c r="X49" s="46">
        <f>ROUND(X$45*((DATE(YEAR(W$22),MONTH($E$17),DAY($E$17))-(DATE(YEAR(W$22),1,1)))/(365+IF(MOD(YEAR(W$22),4),0,1))),0)</f>
        <v>127</v>
      </c>
      <c r="Y49" s="61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11" customFormat="1" ht="18">
      <c r="A50" s="5">
        <v>28</v>
      </c>
      <c r="B50" s="63" t="s">
        <v>85</v>
      </c>
      <c r="C50" s="42" t="s">
        <v>102</v>
      </c>
      <c r="D50" s="42"/>
      <c r="E50" s="46">
        <f>IF(E$45&gt;0,ROUND((E48/E$45)*E$46,0),0)</f>
        <v>366</v>
      </c>
      <c r="F50" s="46">
        <f t="shared" ref="F50:X50" si="12">IF(F$45&gt;0,ROUND((F48/F$45)*F$46,0),0)</f>
        <v>117</v>
      </c>
      <c r="G50" s="46">
        <f t="shared" si="12"/>
        <v>0</v>
      </c>
      <c r="H50" s="46">
        <f t="shared" si="12"/>
        <v>64</v>
      </c>
      <c r="I50" s="46">
        <f t="shared" si="12"/>
        <v>54</v>
      </c>
      <c r="J50" s="46">
        <f t="shared" si="12"/>
        <v>48</v>
      </c>
      <c r="K50" s="46">
        <f t="shared" si="12"/>
        <v>59</v>
      </c>
      <c r="L50" s="46">
        <f t="shared" si="12"/>
        <v>50</v>
      </c>
      <c r="M50" s="46">
        <f t="shared" si="12"/>
        <v>44</v>
      </c>
      <c r="N50" s="46">
        <f t="shared" si="12"/>
        <v>43</v>
      </c>
      <c r="O50" s="46">
        <f t="shared" si="12"/>
        <v>43</v>
      </c>
      <c r="P50" s="46">
        <f t="shared" si="12"/>
        <v>40</v>
      </c>
      <c r="Q50" s="46">
        <f t="shared" si="12"/>
        <v>0</v>
      </c>
      <c r="R50" s="46">
        <f t="shared" si="12"/>
        <v>38</v>
      </c>
      <c r="S50" s="46">
        <f t="shared" si="12"/>
        <v>36</v>
      </c>
      <c r="T50" s="46">
        <f t="shared" si="12"/>
        <v>35</v>
      </c>
      <c r="U50" s="46">
        <f t="shared" si="12"/>
        <v>34</v>
      </c>
      <c r="V50" s="46">
        <f t="shared" si="12"/>
        <v>33</v>
      </c>
      <c r="W50" s="46">
        <f t="shared" si="12"/>
        <v>0</v>
      </c>
      <c r="X50" s="46">
        <f t="shared" si="12"/>
        <v>33</v>
      </c>
      <c r="Y50" s="6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8">
      <c r="A51" s="5">
        <v>28</v>
      </c>
      <c r="B51" s="63" t="s">
        <v>85</v>
      </c>
      <c r="C51" s="42" t="s">
        <v>103</v>
      </c>
      <c r="D51" s="44"/>
      <c r="E51" s="46">
        <f>IF(E$45&gt;0,ROUND((E49/E$45)*E$46,0),0)</f>
        <v>260</v>
      </c>
      <c r="F51" s="46">
        <f t="shared" ref="F51:X51" si="13">IF(F$45&gt;0,ROUND((F49/F$45)*F$46,0),0)</f>
        <v>83</v>
      </c>
      <c r="G51" s="46">
        <f t="shared" si="13"/>
        <v>0</v>
      </c>
      <c r="H51" s="46">
        <f t="shared" si="13"/>
        <v>46</v>
      </c>
      <c r="I51" s="46">
        <f t="shared" si="13"/>
        <v>39</v>
      </c>
      <c r="J51" s="46">
        <f t="shared" si="13"/>
        <v>34</v>
      </c>
      <c r="K51" s="46">
        <f t="shared" si="13"/>
        <v>41</v>
      </c>
      <c r="L51" s="46">
        <f t="shared" si="13"/>
        <v>35</v>
      </c>
      <c r="M51" s="46">
        <f t="shared" si="13"/>
        <v>31</v>
      </c>
      <c r="N51" s="46">
        <f t="shared" si="13"/>
        <v>30</v>
      </c>
      <c r="O51" s="46">
        <f t="shared" si="13"/>
        <v>30</v>
      </c>
      <c r="P51" s="46">
        <f t="shared" si="13"/>
        <v>29</v>
      </c>
      <c r="Q51" s="46">
        <f t="shared" si="13"/>
        <v>0</v>
      </c>
      <c r="R51" s="46">
        <f t="shared" si="13"/>
        <v>27</v>
      </c>
      <c r="S51" s="46">
        <f t="shared" si="13"/>
        <v>25</v>
      </c>
      <c r="T51" s="46">
        <f t="shared" si="13"/>
        <v>25</v>
      </c>
      <c r="U51" s="46">
        <f t="shared" si="13"/>
        <v>24</v>
      </c>
      <c r="V51" s="46">
        <f t="shared" si="13"/>
        <v>24</v>
      </c>
      <c r="W51" s="46">
        <f t="shared" si="13"/>
        <v>0</v>
      </c>
      <c r="X51" s="46">
        <f t="shared" si="13"/>
        <v>23</v>
      </c>
      <c r="Y51" s="61"/>
    </row>
    <row r="52" spans="1:45" ht="18">
      <c r="A52" s="5">
        <v>29</v>
      </c>
      <c r="B52" s="63" t="s">
        <v>86</v>
      </c>
      <c r="C52" s="42" t="s">
        <v>104</v>
      </c>
      <c r="D52" s="43"/>
      <c r="E52" s="46">
        <f>E48-E50</f>
        <v>1666</v>
      </c>
      <c r="F52" s="46">
        <f t="shared" ref="F52:X53" si="14">F48-F50</f>
        <v>534</v>
      </c>
      <c r="G52" s="46">
        <f t="shared" si="14"/>
        <v>0</v>
      </c>
      <c r="H52" s="46">
        <f t="shared" si="14"/>
        <v>292</v>
      </c>
      <c r="I52" s="46">
        <f t="shared" si="14"/>
        <v>246</v>
      </c>
      <c r="J52" s="46">
        <f t="shared" si="14"/>
        <v>218</v>
      </c>
      <c r="K52" s="46">
        <f t="shared" si="14"/>
        <v>265</v>
      </c>
      <c r="L52" s="46">
        <f t="shared" si="14"/>
        <v>226</v>
      </c>
      <c r="M52" s="46">
        <f t="shared" si="14"/>
        <v>199</v>
      </c>
      <c r="N52" s="46">
        <f t="shared" si="14"/>
        <v>194</v>
      </c>
      <c r="O52" s="46">
        <f t="shared" si="14"/>
        <v>192</v>
      </c>
      <c r="P52" s="46">
        <f t="shared" si="14"/>
        <v>183</v>
      </c>
      <c r="Q52" s="46">
        <f t="shared" si="14"/>
        <v>0</v>
      </c>
      <c r="R52" s="46">
        <f t="shared" si="14"/>
        <v>173</v>
      </c>
      <c r="S52" s="46">
        <f t="shared" si="14"/>
        <v>161</v>
      </c>
      <c r="T52" s="46">
        <f t="shared" si="14"/>
        <v>157</v>
      </c>
      <c r="U52" s="46">
        <f t="shared" si="14"/>
        <v>154</v>
      </c>
      <c r="V52" s="46">
        <f t="shared" si="14"/>
        <v>151</v>
      </c>
      <c r="W52" s="46">
        <f t="shared" si="14"/>
        <v>0</v>
      </c>
      <c r="X52" s="46">
        <f t="shared" si="14"/>
        <v>147</v>
      </c>
      <c r="Y52" s="61"/>
    </row>
    <row r="53" spans="1:45" ht="18">
      <c r="A53" s="5">
        <v>29</v>
      </c>
      <c r="B53" s="63" t="s">
        <v>86</v>
      </c>
      <c r="C53" s="42" t="s">
        <v>105</v>
      </c>
      <c r="D53" s="43"/>
      <c r="E53" s="46">
        <f>E49-E51</f>
        <v>1183</v>
      </c>
      <c r="F53" s="46">
        <f t="shared" si="14"/>
        <v>377</v>
      </c>
      <c r="G53" s="46">
        <f t="shared" si="14"/>
        <v>0</v>
      </c>
      <c r="H53" s="46">
        <f t="shared" si="14"/>
        <v>206</v>
      </c>
      <c r="I53" s="46">
        <f t="shared" si="14"/>
        <v>174</v>
      </c>
      <c r="J53" s="46">
        <f t="shared" si="14"/>
        <v>154</v>
      </c>
      <c r="K53" s="46">
        <f t="shared" si="14"/>
        <v>187</v>
      </c>
      <c r="L53" s="46">
        <f t="shared" si="14"/>
        <v>159</v>
      </c>
      <c r="M53" s="46">
        <f t="shared" si="14"/>
        <v>141</v>
      </c>
      <c r="N53" s="46">
        <f t="shared" si="14"/>
        <v>138</v>
      </c>
      <c r="O53" s="46">
        <f t="shared" si="14"/>
        <v>136</v>
      </c>
      <c r="P53" s="46">
        <f t="shared" si="14"/>
        <v>129</v>
      </c>
      <c r="Q53" s="46">
        <f t="shared" si="14"/>
        <v>0</v>
      </c>
      <c r="R53" s="46">
        <f t="shared" si="14"/>
        <v>122</v>
      </c>
      <c r="S53" s="46">
        <f t="shared" si="14"/>
        <v>114</v>
      </c>
      <c r="T53" s="46">
        <f t="shared" si="14"/>
        <v>111</v>
      </c>
      <c r="U53" s="46">
        <f t="shared" si="14"/>
        <v>109</v>
      </c>
      <c r="V53" s="46">
        <f t="shared" si="14"/>
        <v>106</v>
      </c>
      <c r="W53" s="46">
        <f t="shared" si="14"/>
        <v>0</v>
      </c>
      <c r="X53" s="46">
        <f t="shared" si="14"/>
        <v>104</v>
      </c>
      <c r="Y53" s="61"/>
    </row>
    <row r="54" spans="1:45">
      <c r="A54" s="5"/>
      <c r="B54" s="63"/>
      <c r="C54" s="29" t="s">
        <v>87</v>
      </c>
      <c r="D54" s="43"/>
      <c r="E54" s="46">
        <f>D$54+E$45</f>
        <v>3475</v>
      </c>
      <c r="F54" s="46">
        <f t="shared" ref="F54:X54" si="15">E$54+F$45</f>
        <v>4586</v>
      </c>
      <c r="G54" s="46">
        <f t="shared" si="15"/>
        <v>4586</v>
      </c>
      <c r="H54" s="46">
        <f t="shared" si="15"/>
        <v>5194</v>
      </c>
      <c r="I54" s="46">
        <f t="shared" si="15"/>
        <v>5707</v>
      </c>
      <c r="J54" s="46">
        <f t="shared" si="15"/>
        <v>6161</v>
      </c>
      <c r="K54" s="46">
        <f t="shared" si="15"/>
        <v>6713</v>
      </c>
      <c r="L54" s="46">
        <f t="shared" si="15"/>
        <v>7183</v>
      </c>
      <c r="M54" s="46">
        <f t="shared" si="15"/>
        <v>7598</v>
      </c>
      <c r="N54" s="46">
        <f t="shared" si="15"/>
        <v>8003</v>
      </c>
      <c r="O54" s="46">
        <f t="shared" si="15"/>
        <v>8404</v>
      </c>
      <c r="P54" s="46">
        <f t="shared" si="15"/>
        <v>8785</v>
      </c>
      <c r="Q54" s="46">
        <f t="shared" si="15"/>
        <v>8785</v>
      </c>
      <c r="R54" s="46">
        <f t="shared" si="15"/>
        <v>9145</v>
      </c>
      <c r="S54" s="46">
        <f t="shared" si="15"/>
        <v>9481</v>
      </c>
      <c r="T54" s="46">
        <f t="shared" si="15"/>
        <v>9809</v>
      </c>
      <c r="U54" s="46">
        <f t="shared" si="15"/>
        <v>10130</v>
      </c>
      <c r="V54" s="46">
        <f t="shared" si="15"/>
        <v>10444</v>
      </c>
      <c r="W54" s="46">
        <f t="shared" si="15"/>
        <v>10444</v>
      </c>
      <c r="X54" s="46">
        <f t="shared" si="15"/>
        <v>10751</v>
      </c>
      <c r="Y54" s="61"/>
    </row>
    <row r="55" spans="1:45">
      <c r="A55" s="5"/>
      <c r="B55" s="63"/>
      <c r="C55" s="29" t="s">
        <v>89</v>
      </c>
      <c r="D55" s="43"/>
      <c r="E55" s="46">
        <f t="shared" ref="E55:X55" si="16">D$55+E$46</f>
        <v>626</v>
      </c>
      <c r="F55" s="46">
        <f t="shared" si="16"/>
        <v>826</v>
      </c>
      <c r="G55" s="46">
        <f t="shared" si="16"/>
        <v>826</v>
      </c>
      <c r="H55" s="46">
        <f t="shared" si="16"/>
        <v>936</v>
      </c>
      <c r="I55" s="46">
        <f t="shared" si="16"/>
        <v>1029</v>
      </c>
      <c r="J55" s="46">
        <f t="shared" si="16"/>
        <v>1111</v>
      </c>
      <c r="K55" s="46">
        <f t="shared" si="16"/>
        <v>1211</v>
      </c>
      <c r="L55" s="46">
        <f t="shared" si="16"/>
        <v>1296</v>
      </c>
      <c r="M55" s="46">
        <f t="shared" si="16"/>
        <v>1371</v>
      </c>
      <c r="N55" s="46">
        <f t="shared" si="16"/>
        <v>1444</v>
      </c>
      <c r="O55" s="46">
        <f t="shared" si="16"/>
        <v>1517</v>
      </c>
      <c r="P55" s="46">
        <f t="shared" si="16"/>
        <v>1586</v>
      </c>
      <c r="Q55" s="46">
        <f t="shared" si="16"/>
        <v>1586</v>
      </c>
      <c r="R55" s="46">
        <f t="shared" si="16"/>
        <v>1651</v>
      </c>
      <c r="S55" s="46">
        <f t="shared" si="16"/>
        <v>1712</v>
      </c>
      <c r="T55" s="46">
        <f t="shared" si="16"/>
        <v>1772</v>
      </c>
      <c r="U55" s="46">
        <f t="shared" si="16"/>
        <v>1830</v>
      </c>
      <c r="V55" s="46">
        <f t="shared" si="16"/>
        <v>1887</v>
      </c>
      <c r="W55" s="46">
        <f t="shared" si="16"/>
        <v>1887</v>
      </c>
      <c r="X55" s="46">
        <f t="shared" si="16"/>
        <v>1943</v>
      </c>
      <c r="Y55" s="61"/>
    </row>
    <row r="56" spans="1:45">
      <c r="A56" s="5"/>
      <c r="B56" s="63"/>
      <c r="C56" s="29" t="s">
        <v>88</v>
      </c>
      <c r="D56" s="43"/>
      <c r="E56" s="46">
        <f>D$56+E$47</f>
        <v>2849</v>
      </c>
      <c r="F56" s="46">
        <f t="shared" ref="F56:X56" si="17">E$56+F$47</f>
        <v>3760</v>
      </c>
      <c r="G56" s="46">
        <f t="shared" si="17"/>
        <v>3760</v>
      </c>
      <c r="H56" s="46">
        <f t="shared" si="17"/>
        <v>4258</v>
      </c>
      <c r="I56" s="46">
        <f t="shared" si="17"/>
        <v>4678</v>
      </c>
      <c r="J56" s="46">
        <f t="shared" si="17"/>
        <v>5050</v>
      </c>
      <c r="K56" s="46">
        <f t="shared" si="17"/>
        <v>5502</v>
      </c>
      <c r="L56" s="46">
        <f t="shared" si="17"/>
        <v>5887</v>
      </c>
      <c r="M56" s="46">
        <f t="shared" si="17"/>
        <v>6227</v>
      </c>
      <c r="N56" s="46">
        <f t="shared" si="17"/>
        <v>6559</v>
      </c>
      <c r="O56" s="46">
        <f t="shared" si="17"/>
        <v>6887</v>
      </c>
      <c r="P56" s="46">
        <f t="shared" si="17"/>
        <v>7199</v>
      </c>
      <c r="Q56" s="46">
        <f t="shared" si="17"/>
        <v>7199</v>
      </c>
      <c r="R56" s="46">
        <f t="shared" si="17"/>
        <v>7494</v>
      </c>
      <c r="S56" s="46">
        <f t="shared" si="17"/>
        <v>7769</v>
      </c>
      <c r="T56" s="46">
        <f t="shared" si="17"/>
        <v>8037</v>
      </c>
      <c r="U56" s="46">
        <f t="shared" si="17"/>
        <v>8300</v>
      </c>
      <c r="V56" s="46">
        <f t="shared" si="17"/>
        <v>8557</v>
      </c>
      <c r="W56" s="46">
        <f t="shared" si="17"/>
        <v>8557</v>
      </c>
      <c r="X56" s="46">
        <f t="shared" si="17"/>
        <v>8808</v>
      </c>
      <c r="Y56" s="61"/>
    </row>
    <row r="57" spans="1:45">
      <c r="A57" s="5"/>
      <c r="B57" s="63"/>
      <c r="C57" s="49" t="s">
        <v>109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45">
      <c r="A58" s="5"/>
      <c r="B58" s="63"/>
      <c r="C58" s="51" t="s">
        <v>108</v>
      </c>
      <c r="D58" s="52"/>
      <c r="E58" s="53">
        <f>IF($E$44&gt;=0, 0, $E$44)</f>
        <v>0</v>
      </c>
      <c r="F58" s="53">
        <f>IF(AND(COUNTIF($E58:E58,0)=0,F44+E58&lt;0),F44+E58,0)</f>
        <v>0</v>
      </c>
      <c r="G58" s="53">
        <f>IF(AND(COUNTIF($E58:F58,0)=0,G44+F58&lt;0),G44+F58,0)</f>
        <v>0</v>
      </c>
      <c r="H58" s="53">
        <f>IF(AND(COUNTIF($E58:G58,0)=0,H44+G58&lt;0),H44+G58,0)</f>
        <v>0</v>
      </c>
      <c r="I58" s="53">
        <f>IF(AND(COUNTIF($E58:H58,0)=0,I44+H58&lt;0),I44+H58,0)</f>
        <v>0</v>
      </c>
      <c r="J58" s="53">
        <f>IF(AND(COUNTIF($E58:I58,0)=0,J44+I58&lt;0),J44+I58,0)</f>
        <v>0</v>
      </c>
      <c r="K58" s="53">
        <f>IF(AND(COUNTIF($E58:J58,0)=0,K44+J58&lt;0),K44+J58,0)</f>
        <v>0</v>
      </c>
      <c r="L58" s="53">
        <f>IF(AND(COUNTIF($E58:K58,0)=0,L44+K58&lt;0),L44+K58,0)</f>
        <v>0</v>
      </c>
      <c r="M58" s="53">
        <f>IF(AND(COUNTIF($E58:L58,0)=0,M44+L58&lt;0),M44+L58,0)</f>
        <v>0</v>
      </c>
      <c r="N58" s="53">
        <f>IF(AND(COUNTIF($E58:M58,0)=0,N44+M58&lt;0),N44+M58,0)</f>
        <v>0</v>
      </c>
      <c r="O58" s="53">
        <f>IF(AND(COUNTIF($E58:N58,0)=0,O44+N58&lt;0),O44+N58,0)</f>
        <v>0</v>
      </c>
      <c r="P58" s="53">
        <f>IF(AND(COUNTIF($E58:O58,0)=0,P44+O58&lt;0),P44+O58,0)</f>
        <v>0</v>
      </c>
      <c r="Q58" s="53">
        <f>IF(AND(COUNTIF($E58:P58,0)=0,Q44+P58&lt;0),Q44+P58,0)</f>
        <v>0</v>
      </c>
      <c r="R58" s="53">
        <f>IF(AND(COUNTIF($E58:Q58,0)=0,R44+Q58&lt;0),R44+Q58,0)</f>
        <v>0</v>
      </c>
      <c r="S58" s="53">
        <f>IF(AND(COUNTIF($E58:R58,0)=0,S44+R58&lt;0),S44+R58,0)</f>
        <v>0</v>
      </c>
      <c r="T58" s="53">
        <f>IF(AND(COUNTIF($E58:S58,0)=0,T44+S58&lt;0),T44+S58,0)</f>
        <v>0</v>
      </c>
      <c r="U58" s="53">
        <f>IF(AND(COUNTIF($E58:T58,0)=0,U44+T58&lt;0),U44+T58,0)</f>
        <v>0</v>
      </c>
      <c r="V58" s="53">
        <f>IF(AND(COUNTIF($E58:U58,0)=0,V44+U58&lt;0),V44+U58,0)</f>
        <v>0</v>
      </c>
      <c r="W58" s="53">
        <f>IF(AND(COUNTIF($E58:V58,0)=0,W44+V58&lt;0),W44+V58,0)</f>
        <v>0</v>
      </c>
      <c r="X58" s="53">
        <f>IF(AND(COUNTIF($E58:W58,0)=0,X44+W58&lt;0),X44+W58,0)</f>
        <v>0</v>
      </c>
    </row>
    <row r="59" spans="1:45">
      <c r="A59" s="5"/>
      <c r="B59" s="63"/>
      <c r="C59" s="51" t="s">
        <v>106</v>
      </c>
      <c r="D59" s="52"/>
      <c r="E59" s="53">
        <f>IF(E44&lt;0,IF(E58=0,E44,0),0)</f>
        <v>0</v>
      </c>
      <c r="F59" s="53">
        <f>IF(F44&lt;0,IF(F58=0,F44,0),0)</f>
        <v>0</v>
      </c>
      <c r="G59" s="53">
        <f t="shared" ref="F59:X59" si="18">IF(G44&lt;0,IF(G58=0,G44,0),0)</f>
        <v>-529</v>
      </c>
      <c r="H59" s="53">
        <f t="shared" si="18"/>
        <v>0</v>
      </c>
      <c r="I59" s="53">
        <f t="shared" si="18"/>
        <v>0</v>
      </c>
      <c r="J59" s="53">
        <f t="shared" si="18"/>
        <v>0</v>
      </c>
      <c r="K59" s="53">
        <f t="shared" si="18"/>
        <v>0</v>
      </c>
      <c r="L59" s="53">
        <f t="shared" si="18"/>
        <v>0</v>
      </c>
      <c r="M59" s="53">
        <f t="shared" si="18"/>
        <v>0</v>
      </c>
      <c r="N59" s="53">
        <f t="shared" si="18"/>
        <v>0</v>
      </c>
      <c r="O59" s="53">
        <f t="shared" si="18"/>
        <v>0</v>
      </c>
      <c r="P59" s="53">
        <f t="shared" si="18"/>
        <v>0</v>
      </c>
      <c r="Q59" s="53">
        <f t="shared" si="18"/>
        <v>-972</v>
      </c>
      <c r="R59" s="53">
        <f t="shared" si="18"/>
        <v>0</v>
      </c>
      <c r="S59" s="53">
        <f t="shared" si="18"/>
        <v>0</v>
      </c>
      <c r="T59" s="53">
        <f t="shared" si="18"/>
        <v>0</v>
      </c>
      <c r="U59" s="53">
        <f t="shared" si="18"/>
        <v>0</v>
      </c>
      <c r="V59" s="53">
        <f t="shared" si="18"/>
        <v>0</v>
      </c>
      <c r="W59" s="53">
        <f t="shared" si="18"/>
        <v>-1310</v>
      </c>
      <c r="X59" s="53">
        <f t="shared" si="18"/>
        <v>0</v>
      </c>
    </row>
    <row r="60" spans="1:45">
      <c r="A60" s="5"/>
      <c r="B60" s="63"/>
      <c r="C60" s="54" t="s">
        <v>48</v>
      </c>
      <c r="D60" s="55"/>
      <c r="E60" s="56">
        <f>D$60+E$59</f>
        <v>0</v>
      </c>
      <c r="F60" s="56">
        <f t="shared" ref="F60:X60" si="19">E$60+F$59</f>
        <v>0</v>
      </c>
      <c r="G60" s="56">
        <f t="shared" si="19"/>
        <v>-529</v>
      </c>
      <c r="H60" s="56">
        <f t="shared" si="19"/>
        <v>-529</v>
      </c>
      <c r="I60" s="56">
        <f t="shared" si="19"/>
        <v>-529</v>
      </c>
      <c r="J60" s="56">
        <f t="shared" si="19"/>
        <v>-529</v>
      </c>
      <c r="K60" s="56">
        <f t="shared" si="19"/>
        <v>-529</v>
      </c>
      <c r="L60" s="56">
        <f t="shared" si="19"/>
        <v>-529</v>
      </c>
      <c r="M60" s="56">
        <f t="shared" si="19"/>
        <v>-529</v>
      </c>
      <c r="N60" s="56">
        <f t="shared" si="19"/>
        <v>-529</v>
      </c>
      <c r="O60" s="56">
        <f t="shared" si="19"/>
        <v>-529</v>
      </c>
      <c r="P60" s="56">
        <f t="shared" si="19"/>
        <v>-529</v>
      </c>
      <c r="Q60" s="56">
        <f t="shared" si="19"/>
        <v>-1501</v>
      </c>
      <c r="R60" s="56">
        <f t="shared" si="19"/>
        <v>-1501</v>
      </c>
      <c r="S60" s="56">
        <f t="shared" si="19"/>
        <v>-1501</v>
      </c>
      <c r="T60" s="56">
        <f t="shared" si="19"/>
        <v>-1501</v>
      </c>
      <c r="U60" s="56">
        <f t="shared" si="19"/>
        <v>-1501</v>
      </c>
      <c r="V60" s="56">
        <f t="shared" si="19"/>
        <v>-1501</v>
      </c>
      <c r="W60" s="56">
        <f t="shared" si="19"/>
        <v>-2811</v>
      </c>
      <c r="X60" s="56">
        <f t="shared" si="19"/>
        <v>-2811</v>
      </c>
    </row>
    <row r="61" spans="1:45">
      <c r="A61" s="5"/>
      <c r="B61" s="58"/>
      <c r="C61" s="48"/>
      <c r="D61" s="48"/>
      <c r="E61" s="48"/>
      <c r="F61" s="48"/>
      <c r="G61" s="48"/>
      <c r="H61" s="48"/>
      <c r="I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45">
      <c r="A62" s="5"/>
      <c r="B62" s="58"/>
      <c r="C62" s="3" t="s">
        <v>17</v>
      </c>
      <c r="D62" s="48">
        <f>D24+D25</f>
        <v>18758.947200000002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45">
      <c r="A63" s="5"/>
      <c r="B63" s="58"/>
      <c r="C63" s="3" t="s">
        <v>90</v>
      </c>
      <c r="D63" s="48">
        <f>D24+D25</f>
        <v>18758.947200000002</v>
      </c>
      <c r="E63" s="48">
        <f t="shared" ref="E63:X63" si="20">E24+E25</f>
        <v>13662.689600000002</v>
      </c>
      <c r="F63" s="48">
        <f t="shared" si="20"/>
        <v>10470.612800000001</v>
      </c>
      <c r="G63" s="48">
        <f t="shared" si="20"/>
        <v>11138.193599999999</v>
      </c>
      <c r="H63" s="48">
        <f t="shared" si="20"/>
        <v>12073.9792</v>
      </c>
      <c r="I63" s="48">
        <f t="shared" si="20"/>
        <v>12837.190399999999</v>
      </c>
      <c r="J63" s="48">
        <f t="shared" si="20"/>
        <v>13517.961599999999</v>
      </c>
      <c r="K63" s="48">
        <f t="shared" si="20"/>
        <v>14364.712</v>
      </c>
      <c r="L63" s="48">
        <f t="shared" si="20"/>
        <v>12668.280000000002</v>
      </c>
      <c r="M63" s="48">
        <f t="shared" si="20"/>
        <v>13271.7408</v>
      </c>
      <c r="N63" s="48">
        <f t="shared" si="20"/>
        <v>13880.331200000002</v>
      </c>
      <c r="O63" s="48">
        <f t="shared" si="20"/>
        <v>11494.334400000002</v>
      </c>
      <c r="P63" s="48">
        <f t="shared" si="20"/>
        <v>12137.7328</v>
      </c>
      <c r="Q63" s="48">
        <f t="shared" si="20"/>
        <v>12832.060799999997</v>
      </c>
      <c r="R63" s="48">
        <f t="shared" si="20"/>
        <v>10538.396800000002</v>
      </c>
      <c r="S63" s="48">
        <f t="shared" si="20"/>
        <v>11206.7104</v>
      </c>
      <c r="T63" s="48">
        <f t="shared" si="20"/>
        <v>11881.619200000001</v>
      </c>
      <c r="U63" s="48">
        <f t="shared" si="20"/>
        <v>12937.217600000002</v>
      </c>
      <c r="V63" s="48">
        <f t="shared" si="20"/>
        <v>14012.968000000001</v>
      </c>
      <c r="W63" s="48">
        <f t="shared" si="20"/>
        <v>14849.8256</v>
      </c>
      <c r="X63" s="48">
        <f t="shared" si="20"/>
        <v>12608.5568</v>
      </c>
    </row>
    <row r="64" spans="1:45">
      <c r="A64" s="5"/>
      <c r="B64" s="58"/>
      <c r="C64" s="3" t="s">
        <v>18</v>
      </c>
      <c r="D64" s="48">
        <f>IF(SUM($D31:D31)=1,D30,D24+D25)</f>
        <v>18758.947200000002</v>
      </c>
      <c r="E64" s="48">
        <f>IF(SUM($D31:E31)=1,E30,E24+E25)</f>
        <v>13662.689600000002</v>
      </c>
      <c r="F64" s="48">
        <f>IF(SUM($D31:F31)=1,F30,F24+F25)</f>
        <v>12760.403951999999</v>
      </c>
      <c r="G64" s="48">
        <f>IF(SUM($D31:G31)=1,G30,G24+G25)</f>
        <v>12760.403951999999</v>
      </c>
      <c r="H64" s="48">
        <f>IF(SUM($D31:H31)=1,H30,H24+H25)</f>
        <v>12760.403951999999</v>
      </c>
      <c r="I64" s="48">
        <f>IF(SUM($D31:I31)=1,I30,I24+I25)</f>
        <v>12760.403951999999</v>
      </c>
      <c r="J64" s="48">
        <f>IF(SUM($D31:J31)=1,J30,J24+J25)</f>
        <v>12760.403951999999</v>
      </c>
      <c r="K64" s="48">
        <f>IF(SUM($D31:K31)=1,K30,K24+K25)</f>
        <v>12760.403951999999</v>
      </c>
      <c r="L64" s="48">
        <f>IF(SUM($D31:L31)=1,L30,L24+L25)</f>
        <v>12760.403951999999</v>
      </c>
      <c r="M64" s="48">
        <f>IF(SUM($D31:M31)=1,M30,M24+M25)</f>
        <v>12760.403951999999</v>
      </c>
      <c r="N64" s="48">
        <f>IF(SUM($D31:N31)=1,N30,N24+N25)</f>
        <v>12760.403951999999</v>
      </c>
      <c r="O64" s="48">
        <f>IF(SUM($D31:O31)=1,O30,O24+O25)</f>
        <v>12760.403951999999</v>
      </c>
      <c r="P64" s="48">
        <f>IF(SUM($D31:P31)=1,P30,P24+P25)</f>
        <v>12760.403951999999</v>
      </c>
      <c r="Q64" s="48">
        <f>IF(SUM($D31:Q31)=1,Q30,Q24+Q25)</f>
        <v>12760.403951999999</v>
      </c>
      <c r="R64" s="48">
        <f>IF(SUM($D31:R31)=1,R30,R24+R25)</f>
        <v>12760.403951999999</v>
      </c>
      <c r="S64" s="48">
        <f>IF(SUM($D31:S31)=1,S30,S24+S25)</f>
        <v>12760.403951999999</v>
      </c>
      <c r="T64" s="48">
        <f>IF(SUM($D31:T31)=1,T30,T24+T25)</f>
        <v>12760.403951999999</v>
      </c>
      <c r="U64" s="48">
        <f>IF(SUM($D31:U31)=1,U30,U24+U25)</f>
        <v>12760.403951999999</v>
      </c>
      <c r="V64" s="48">
        <f>IF(SUM($D31:V31)=1,V30,V24+V25)</f>
        <v>12760.403951999999</v>
      </c>
      <c r="W64" s="48">
        <f>IF(SUM($D31:W31)=1,W30,W24+W25)</f>
        <v>12760.403951999999</v>
      </c>
      <c r="X64" s="48">
        <f>IF(SUM($D31:X31)=1,X30,X24+X25)</f>
        <v>12760.403951999999</v>
      </c>
    </row>
    <row r="65" spans="1:24">
      <c r="A65" s="5"/>
      <c r="B65" s="58"/>
      <c r="C65" s="3" t="s">
        <v>55</v>
      </c>
      <c r="D65" s="48">
        <f t="shared" ref="D65:X65" si="21">SUM(D34:D35)</f>
        <v>18758.947200000002</v>
      </c>
      <c r="E65" s="48">
        <f t="shared" si="21"/>
        <v>19596.171199999997</v>
      </c>
      <c r="F65" s="48">
        <f t="shared" si="21"/>
        <v>20404.4496</v>
      </c>
      <c r="G65" s="48">
        <f t="shared" si="21"/>
        <v>19249.556799999998</v>
      </c>
      <c r="H65" s="48">
        <f t="shared" si="21"/>
        <v>20264.484800000006</v>
      </c>
      <c r="I65" s="48">
        <f t="shared" si="21"/>
        <v>21120.395199999999</v>
      </c>
      <c r="J65" s="48">
        <f t="shared" si="21"/>
        <v>21877.377600000003</v>
      </c>
      <c r="K65" s="48">
        <f t="shared" si="21"/>
        <v>22797.774400000002</v>
      </c>
      <c r="L65" s="48">
        <f t="shared" si="21"/>
        <v>23582.236799999999</v>
      </c>
      <c r="M65" s="48">
        <f t="shared" si="21"/>
        <v>24274</v>
      </c>
      <c r="N65" s="48">
        <f t="shared" si="21"/>
        <v>24950.007999999998</v>
      </c>
      <c r="O65" s="48">
        <f t="shared" si="21"/>
        <v>25619.054400000001</v>
      </c>
      <c r="P65" s="48">
        <f t="shared" si="21"/>
        <v>26255.109428081138</v>
      </c>
      <c r="Q65" s="48">
        <f t="shared" si="21"/>
        <v>24271.467753139201</v>
      </c>
      <c r="R65" s="48">
        <f t="shared" si="21"/>
        <v>24872.04527819726</v>
      </c>
      <c r="S65" s="48">
        <f t="shared" si="21"/>
        <v>25432.318803255326</v>
      </c>
      <c r="T65" s="48">
        <f t="shared" si="21"/>
        <v>25979.768328313388</v>
      </c>
      <c r="U65" s="48">
        <f t="shared" si="21"/>
        <v>26516.225853371448</v>
      </c>
      <c r="V65" s="48">
        <f t="shared" si="21"/>
        <v>27039.859378429508</v>
      </c>
      <c r="W65" s="48">
        <f t="shared" si="21"/>
        <v>24401.460903487572</v>
      </c>
      <c r="X65" s="48">
        <f t="shared" si="21"/>
        <v>24914.102428545633</v>
      </c>
    </row>
    <row r="68" spans="1:24"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24"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1" spans="1:24"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4" spans="1:24"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mergeCells count="14">
    <mergeCell ref="A13:B13"/>
    <mergeCell ref="C13:D13"/>
    <mergeCell ref="O13:R13"/>
    <mergeCell ref="O14:R14"/>
    <mergeCell ref="C12:E12"/>
    <mergeCell ref="O12:S12"/>
    <mergeCell ref="A14:B14"/>
    <mergeCell ref="J8:R8"/>
    <mergeCell ref="I7:S7"/>
    <mergeCell ref="K9:Q9"/>
    <mergeCell ref="C17:D17"/>
    <mergeCell ref="C15:D15"/>
    <mergeCell ref="C16:D16"/>
    <mergeCell ref="C14:D1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9"/>
  <sheetViews>
    <sheetView zoomScaleNormal="100" workbookViewId="0"/>
  </sheetViews>
  <sheetFormatPr defaultRowHeight="15"/>
  <sheetData>
    <row r="1" spans="1:1">
      <c r="A1" s="2" t="s">
        <v>44</v>
      </c>
    </row>
    <row r="22" spans="1:1">
      <c r="A22" s="2" t="s">
        <v>45</v>
      </c>
    </row>
    <row r="44" spans="1:1">
      <c r="A44" s="2"/>
    </row>
    <row r="68" spans="1:1">
      <c r="A68" s="2"/>
    </row>
    <row r="89" spans="7:7">
      <c r="G89" t="s">
        <v>14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 and Version</vt:lpstr>
      <vt:lpstr>Example A-No Harvest Project</vt:lpstr>
      <vt:lpstr>Example B-Light Harvest Project</vt:lpstr>
      <vt:lpstr>Graphs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Latta</dc:creator>
  <cp:lastModifiedBy>Taylor, Andrew</cp:lastModifiedBy>
  <cp:lastPrinted>2011-08-22T18:07:07Z</cp:lastPrinted>
  <dcterms:created xsi:type="dcterms:W3CDTF">2011-08-18T13:23:13Z</dcterms:created>
  <dcterms:modified xsi:type="dcterms:W3CDTF">2021-04-19T18:58:35Z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d367d-9e3b-49e5-aa9a-caafdafee3aa_Enabled">
    <vt:lpwstr>true</vt:lpwstr>
  </property>
  <property fmtid="{D5CDD505-2E9C-101B-9397-08002B2CF9AE}" pid="3" name="MSIP_Label_65bd367d-9e3b-49e5-aa9a-caafdafee3aa_SetDate">
    <vt:lpwstr>2021-04-13T22:15:42Z</vt:lpwstr>
  </property>
  <property fmtid="{D5CDD505-2E9C-101B-9397-08002B2CF9AE}" pid="4" name="MSIP_Label_65bd367d-9e3b-49e5-aa9a-caafdafee3aa_Method">
    <vt:lpwstr>Standard</vt:lpwstr>
  </property>
  <property fmtid="{D5CDD505-2E9C-101B-9397-08002B2CF9AE}" pid="5" name="MSIP_Label_65bd367d-9e3b-49e5-aa9a-caafdafee3aa_Name">
    <vt:lpwstr>65bd367d-9e3b-49e5-aa9a-caafdafee3aa</vt:lpwstr>
  </property>
  <property fmtid="{D5CDD505-2E9C-101B-9397-08002B2CF9AE}" pid="6" name="MSIP_Label_65bd367d-9e3b-49e5-aa9a-caafdafee3aa_SiteId">
    <vt:lpwstr>9be3e276-28d8-4cd8-8f84-02cf1911da9c</vt:lpwstr>
  </property>
  <property fmtid="{D5CDD505-2E9C-101B-9397-08002B2CF9AE}" pid="7" name="MSIP_Label_65bd367d-9e3b-49e5-aa9a-caafdafee3aa_ActionId">
    <vt:lpwstr>8c339faa-5473-46a7-9023-3457a101d883</vt:lpwstr>
  </property>
  <property fmtid="{D5CDD505-2E9C-101B-9397-08002B2CF9AE}" pid="8" name="MSIP_Label_65bd367d-9e3b-49e5-aa9a-caafdafee3aa_ContentBits">
    <vt:lpwstr>0</vt:lpwstr>
  </property>
</Properties>
</file>